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updateLinks="never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fsu-my.sharepoint.com/personal/mnf2984_fsu_edu/Documents/Documents/Projects/RAM/Documents/Recon/"/>
    </mc:Choice>
  </mc:AlternateContent>
  <xr:revisionPtr revIDLastSave="0" documentId="8_{5160CB6A-9329-4E18-AA6C-4E6338EF203C}" xr6:coauthVersionLast="47" xr6:coauthVersionMax="47" xr10:uidLastSave="{00000000-0000-0000-0000-000000000000}"/>
  <bookViews>
    <workbookView xWindow="-110" yWindow="-110" windowWidth="34620" windowHeight="14020" tabRatio="741" firstSheet="1" activeTab="1" xr2:uid="{00000000-000D-0000-FFFF-FFFF00000000}"/>
  </bookViews>
  <sheets>
    <sheet name="E&amp;G Summary" sheetId="85" state="hidden" r:id="rId1"/>
    <sheet name="Project Summary" sheetId="77" r:id="rId2"/>
    <sheet name="GL_Expense" sheetId="5" r:id="rId3"/>
    <sheet name="GL_Encumbrance" sheetId="1" r:id="rId4"/>
    <sheet name="HR_GL_Detail" sheetId="2" r:id="rId5"/>
    <sheet name="Salary Account Codes" sheetId="7" state="hidden" r:id="rId6"/>
    <sheet name="PCard_Detail" sheetId="8" state="hidden" r:id="rId7"/>
    <sheet name="Projected Expenses" sheetId="12" r:id="rId8"/>
    <sheet name="Projects" sheetId="33" r:id="rId9"/>
    <sheet name="Project Budgets" sheetId="79" r:id="rId10"/>
    <sheet name="Budget Category Lookup" sheetId="80" state="hidden" r:id="rId11"/>
    <sheet name="Actives" sheetId="81" state="hidden" r:id="rId12"/>
    <sheet name="Payroll Encumbrances" sheetId="82" state="hidden" r:id="rId13"/>
    <sheet name="E&amp;G Budgets" sheetId="86" state="hidden" r:id="rId14"/>
    <sheet name="Dept-Fund Crosswalks" sheetId="88" state="hidden" r:id="rId15"/>
    <sheet name="SR Expense Type Lookup" sheetId="78" state="hidden" r:id="rId16"/>
    <sheet name="E&amp;G Expense Type Lookup" sheetId="87" state="hidden" r:id="rId17"/>
  </sheets>
  <externalReferences>
    <externalReference r:id="rId18"/>
    <externalReference r:id="rId19"/>
    <externalReference r:id="rId20"/>
    <externalReference r:id="rId21"/>
  </externalReferences>
  <definedNames>
    <definedName name="AsOfDate" localSheetId="11">#REF!</definedName>
    <definedName name="AsOfDate" localSheetId="0">#REF!</definedName>
    <definedName name="AsOfDate" localSheetId="12">#REF!</definedName>
    <definedName name="AsOfDate">#REF!</definedName>
    <definedName name="DES_FDESCR_QDEPTID" localSheetId="11">#REF!</definedName>
    <definedName name="DES_FDESCR_QDEPTID" localSheetId="0">#REF!</definedName>
    <definedName name="DES_FDESCR_QDEPTID" localSheetId="12">#REF!</definedName>
    <definedName name="DES_FDESCR_QDEPTID">#REF!</definedName>
    <definedName name="DES_FDESCR_QFUND_CODE" localSheetId="11">#REF!</definedName>
    <definedName name="DES_FDESCR_QFUND_CODE" localSheetId="0">#REF!</definedName>
    <definedName name="DES_FDESCR_QFUND_CODE" localSheetId="12">#REF!</definedName>
    <definedName name="DES_FDESCR_QFUND_CODE">#REF!</definedName>
    <definedName name="DES_FDESCR_QPROJECT_ID" localSheetId="11">#REF!</definedName>
    <definedName name="DES_FDESCR_QPROJECT_ID" localSheetId="0">#REF!</definedName>
    <definedName name="DES_FDESCR_QPROJECT_ID" localSheetId="12">#REF!</definedName>
    <definedName name="DES_FDESCR_QPROJECT_ID">#REF!</definedName>
    <definedName name="EncumbrancesAmountRange" localSheetId="11">[1]Encumbrances!$S$2:$S$98</definedName>
    <definedName name="EncumbrancesAmountRange" localSheetId="12">[1]Encumbrances!$S$2:$S$98</definedName>
    <definedName name="EncumbrancesAmountRange">[2]Encumbrances!$S$2:$S$74</definedName>
    <definedName name="EncumbrancesCategoryRange" localSheetId="11">[1]Encumbrances!$T$2:$T$98</definedName>
    <definedName name="EncumbrancesCategoryRange" localSheetId="12">[1]Encumbrances!$T$2:$T$98</definedName>
    <definedName name="EncumbrancesCategoryRange">[2]Encumbrances!$T$2:$T$74</definedName>
    <definedName name="Fund_Code_LookUp" localSheetId="11">#REF!</definedName>
    <definedName name="Fund_Code_LookUp" localSheetId="0">#REF!</definedName>
    <definedName name="Fund_Code_LookUp" localSheetId="12">#REF!</definedName>
    <definedName name="Fund_Code_LookUp">#REF!</definedName>
    <definedName name="kjj" localSheetId="0">#REF!</definedName>
    <definedName name="kjj">#REF!</definedName>
    <definedName name="LastRow" localSheetId="0">MAX(LOOKUP(2,1/('[3]Summary_GL Tie Out'!$F$2:$F$10000&lt;&gt;""),ROW('[3]Summary_GL Tie Out'!$F$2:$F$10000)),LOOKUP(2,1/('[3]Summary_GL Tie Out'!$M$2:$M$10000&lt;&gt;""),ROW('[3]Summary_GL Tie Out'!$M$2:$M$10000)),LOOKUP(2,1/('[3]Summary_GL Tie Out'!$S$2:$S$10000&lt;&gt;""),ROW('[3]Summary_GL Tie Out'!$S$2:$S$10000)))</definedName>
    <definedName name="LastRow" localSheetId="1">MAX(LOOKUP(2,1/('[3]Summary_GL Tie Out'!$F$2:$F$10000&lt;&gt;""),ROW('[3]Summary_GL Tie Out'!$F$2:$F$10000)),LOOKUP(2,1/('[3]Summary_GL Tie Out'!$M$2:$M$10000&lt;&gt;""),ROW('[3]Summary_GL Tie Out'!$M$2:$M$10000)),LOOKUP(2,1/('[3]Summary_GL Tie Out'!$S$2:$S$10000&lt;&gt;""),ROW('[3]Summary_GL Tie Out'!$S$2:$S$10000)))</definedName>
    <definedName name="LastRow">MAX(LOOKUP(2,1/(#REF!&lt;&gt;""),ROW(#REF!)),LOOKUP(2,1/(#REF!&lt;&gt;""),ROW(#REF!)),LOOKUP(2,1/(#REF!&lt;&gt;""),ROW(#REF!)))</definedName>
    <definedName name="NvsElapsedTime">0.000127314815472346</definedName>
    <definedName name="PendingAmountRange" localSheetId="11">[1]Pending!$F$2:$F$100</definedName>
    <definedName name="PendingAmountRange" localSheetId="12">[1]Pending!$F$2:$F$100</definedName>
    <definedName name="PendingAmountRange">[2]Pending!$F$2:$F$91</definedName>
    <definedName name="PendingCategoryRange" localSheetId="11">[1]Pending!$G$2:$G$100</definedName>
    <definedName name="PendingCategoryRange" localSheetId="12">[1]Pending!$G$2:$G$100</definedName>
    <definedName name="PendingCategoryRange">[2]Pending!$G$2:$G$91</definedName>
    <definedName name="PostedExpenseAmountRange" localSheetId="11">'[1]Posted Expenses '!$X$2:$X$4999</definedName>
    <definedName name="PostedExpenseAmountRange" localSheetId="12">'[1]Posted Expenses '!$X$2:$X$4999</definedName>
    <definedName name="PostedExpenseAmountRange">'[2]Posted Expenses '!$X$2:$X$4842</definedName>
    <definedName name="PostedExpenseCategoryRange" localSheetId="11">'[1]Posted Expenses '!$Y$2:$Y$4999</definedName>
    <definedName name="PostedExpenseCategoryRange" localSheetId="12">'[1]Posted Expenses '!$Y$2:$Y$4999</definedName>
    <definedName name="PostedExpenseCategoryRange">'[2]Posted Expenses '!$AG$2:$AG$4842</definedName>
    <definedName name="_xlnm.Print_Area" localSheetId="0">'E&amp;G Summary'!$A$1:$I$45</definedName>
    <definedName name="_xlnm.Print_Area" localSheetId="1">'Project Summary'!$A$1:$J$54</definedName>
    <definedName name="s">'[4]FSU SRS Budget Admendment Form '!$D:$D</definedName>
    <definedName name="SFV_QDEPTID" localSheetId="11">#REF!</definedName>
    <definedName name="SFV_QDEPTID" localSheetId="0">#REF!</definedName>
    <definedName name="SFV_QDEPTID" localSheetId="12">#REF!</definedName>
    <definedName name="SFV_QDEPTID">#REF!</definedName>
    <definedName name="SFV_QFUND_CODE" localSheetId="11">#REF!</definedName>
    <definedName name="SFV_QFUND_CODE" localSheetId="0">#REF!</definedName>
    <definedName name="SFV_QFUND_CODE" localSheetId="12">#REF!</definedName>
    <definedName name="SFV_QFUND_CODE">#REF!</definedName>
    <definedName name="SFV_QPROJECT_ID" localSheetId="11">#REF!</definedName>
    <definedName name="SFV_QPROJECT_ID" localSheetId="0">#REF!</definedName>
    <definedName name="SFV_QPROJECT_ID" localSheetId="12">#REF!</definedName>
    <definedName name="SFV_QPROJECT_ID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" i="1" l="1"/>
  <c r="Z5" i="1"/>
  <c r="AQ4" i="5"/>
  <c r="AQ5" i="5"/>
  <c r="AA4" i="5"/>
  <c r="AB4" i="5" s="1"/>
  <c r="AC4" i="5"/>
  <c r="AD4" i="5"/>
  <c r="AE4" i="5"/>
  <c r="AF4" i="5" s="1"/>
  <c r="AK4" i="5" s="1"/>
  <c r="AL4" i="5" s="1"/>
  <c r="AG4" i="5"/>
  <c r="AH4" i="5"/>
  <c r="AI4" i="5"/>
  <c r="AA5" i="5"/>
  <c r="AB5" i="5" s="1"/>
  <c r="AC5" i="5"/>
  <c r="AD5" i="5"/>
  <c r="AE5" i="5"/>
  <c r="AF5" i="5" s="1"/>
  <c r="AK5" i="5" s="1"/>
  <c r="AL5" i="5" s="1"/>
  <c r="AG5" i="5"/>
  <c r="AH5" i="5"/>
  <c r="AI5" i="5"/>
  <c r="AJ5" i="5"/>
  <c r="AA3" i="5"/>
  <c r="AB3" i="5" s="1"/>
  <c r="AJ4" i="5" l="1"/>
  <c r="F526" i="78"/>
  <c r="F527" i="78"/>
  <c r="F528" i="78"/>
  <c r="F529" i="78"/>
  <c r="F530" i="78"/>
  <c r="F531" i="78"/>
  <c r="F532" i="78"/>
  <c r="F533" i="78"/>
  <c r="F534" i="78"/>
  <c r="F535" i="78"/>
  <c r="F536" i="78"/>
  <c r="F537" i="78"/>
  <c r="F538" i="78"/>
  <c r="F539" i="78"/>
  <c r="F540" i="78"/>
  <c r="F541" i="78"/>
  <c r="F542" i="78"/>
  <c r="F543" i="78"/>
  <c r="F544" i="78"/>
  <c r="F545" i="78"/>
  <c r="F546" i="78"/>
  <c r="F547" i="78"/>
  <c r="F548" i="78"/>
  <c r="F549" i="78"/>
  <c r="F550" i="78"/>
  <c r="F551" i="78"/>
  <c r="F552" i="78"/>
  <c r="F553" i="78"/>
  <c r="F554" i="78"/>
  <c r="F555" i="78"/>
  <c r="F556" i="78"/>
  <c r="F557" i="78"/>
  <c r="F558" i="78"/>
  <c r="F559" i="78"/>
  <c r="F560" i="78"/>
  <c r="F561" i="78"/>
  <c r="F562" i="78"/>
  <c r="F563" i="78"/>
  <c r="F564" i="78"/>
  <c r="F565" i="78"/>
  <c r="F566" i="78"/>
  <c r="F567" i="78"/>
  <c r="F568" i="78"/>
  <c r="F569" i="78"/>
  <c r="F570" i="78"/>
  <c r="F571" i="78"/>
  <c r="F572" i="78"/>
  <c r="F573" i="78"/>
  <c r="F574" i="78"/>
  <c r="F575" i="78"/>
  <c r="F576" i="78"/>
  <c r="F577" i="78"/>
  <c r="F578" i="78"/>
  <c r="F579" i="78"/>
  <c r="F580" i="78"/>
  <c r="F581" i="78"/>
  <c r="F582" i="78"/>
  <c r="F583" i="78"/>
  <c r="F584" i="78"/>
  <c r="F585" i="78"/>
  <c r="F586" i="78"/>
  <c r="F587" i="78"/>
  <c r="F588" i="78"/>
  <c r="F589" i="78"/>
  <c r="F590" i="78"/>
  <c r="F591" i="78"/>
  <c r="F592" i="78"/>
  <c r="F593" i="78"/>
  <c r="F594" i="78"/>
  <c r="F595" i="78"/>
  <c r="F596" i="78"/>
  <c r="F597" i="78"/>
  <c r="F598" i="78"/>
  <c r="F599" i="78"/>
  <c r="F600" i="78"/>
  <c r="F601" i="78"/>
  <c r="F602" i="78"/>
  <c r="F603" i="78"/>
  <c r="F604" i="78"/>
  <c r="F605" i="78"/>
  <c r="F606" i="78"/>
  <c r="F607" i="78"/>
  <c r="F608" i="78"/>
  <c r="F609" i="78"/>
  <c r="F610" i="78"/>
  <c r="F611" i="78"/>
  <c r="F612" i="78"/>
  <c r="F613" i="78"/>
  <c r="F614" i="78"/>
  <c r="F615" i="78"/>
  <c r="F616" i="78"/>
  <c r="F617" i="78"/>
  <c r="F618" i="78"/>
  <c r="F619" i="78"/>
  <c r="F620" i="78"/>
  <c r="F621" i="78"/>
  <c r="F622" i="78"/>
  <c r="F623" i="78"/>
  <c r="F624" i="78"/>
  <c r="F625" i="78"/>
  <c r="F626" i="78"/>
  <c r="F627" i="78"/>
  <c r="F628" i="78"/>
  <c r="F629" i="78"/>
  <c r="F630" i="78"/>
  <c r="F631" i="78"/>
  <c r="F632" i="78"/>
  <c r="F633" i="78"/>
  <c r="F634" i="78"/>
  <c r="F635" i="78"/>
  <c r="F636" i="78"/>
  <c r="F637" i="78"/>
  <c r="F638" i="78"/>
  <c r="F639" i="78"/>
  <c r="F640" i="78"/>
  <c r="F641" i="78"/>
  <c r="F642" i="78"/>
  <c r="F643" i="78"/>
  <c r="F644" i="78"/>
  <c r="F645" i="78"/>
  <c r="F646" i="78"/>
  <c r="F647" i="78"/>
  <c r="F648" i="78"/>
  <c r="F649" i="78"/>
  <c r="F650" i="78"/>
  <c r="F651" i="78"/>
  <c r="F652" i="78"/>
  <c r="F653" i="78"/>
  <c r="F654" i="78"/>
  <c r="F655" i="78"/>
  <c r="F656" i="78"/>
  <c r="F657" i="78"/>
  <c r="F658" i="78"/>
  <c r="F659" i="78"/>
  <c r="F660" i="78"/>
  <c r="F661" i="78"/>
  <c r="F662" i="78"/>
  <c r="F663" i="78"/>
  <c r="F664" i="78"/>
  <c r="F665" i="78"/>
  <c r="F666" i="78"/>
  <c r="F667" i="78"/>
  <c r="F668" i="78"/>
  <c r="F669" i="78"/>
  <c r="F670" i="78"/>
  <c r="F671" i="78"/>
  <c r="F672" i="78"/>
  <c r="F673" i="78"/>
  <c r="F674" i="78"/>
  <c r="F675" i="78"/>
  <c r="F676" i="78"/>
  <c r="F677" i="78"/>
  <c r="F678" i="78"/>
  <c r="F679" i="78"/>
  <c r="F680" i="78"/>
  <c r="F681" i="78"/>
  <c r="F682" i="78"/>
  <c r="F683" i="78"/>
  <c r="F684" i="78"/>
  <c r="F685" i="78"/>
  <c r="F686" i="78"/>
  <c r="F687" i="78"/>
  <c r="F688" i="78"/>
  <c r="F689" i="78"/>
  <c r="F690" i="78"/>
  <c r="F691" i="78"/>
  <c r="F692" i="78"/>
  <c r="F693" i="78"/>
  <c r="F694" i="78"/>
  <c r="F695" i="78"/>
  <c r="F696" i="78"/>
  <c r="F697" i="78"/>
  <c r="F698" i="78"/>
  <c r="F699" i="78"/>
  <c r="F700" i="78"/>
  <c r="F701" i="78"/>
  <c r="F702" i="78"/>
  <c r="F703" i="78"/>
  <c r="F704" i="78"/>
  <c r="F705" i="78"/>
  <c r="F706" i="78"/>
  <c r="F707" i="78"/>
  <c r="F708" i="78"/>
  <c r="F709" i="78"/>
  <c r="F710" i="78"/>
  <c r="F711" i="78"/>
  <c r="F20" i="77"/>
  <c r="F13" i="77"/>
  <c r="S3" i="33"/>
  <c r="U4" i="33"/>
  <c r="U5" i="33"/>
  <c r="V5" i="33" s="1"/>
  <c r="T4" i="33"/>
  <c r="T5" i="33"/>
  <c r="S4" i="33"/>
  <c r="S5" i="33"/>
  <c r="AQ3" i="5"/>
  <c r="H24" i="77" l="1"/>
  <c r="H26" i="77"/>
  <c r="V4" i="33"/>
  <c r="H19" i="77"/>
  <c r="H23" i="77"/>
  <c r="H20" i="77"/>
  <c r="H18" i="77"/>
  <c r="H11" i="77"/>
  <c r="H13" i="77"/>
  <c r="H17" i="77"/>
  <c r="H10" i="77"/>
  <c r="W5" i="33"/>
  <c r="B4" i="77"/>
  <c r="W4" i="33"/>
  <c r="D26" i="77"/>
  <c r="X4" i="33" l="1"/>
  <c r="Y4" i="33" s="1"/>
  <c r="X5" i="33"/>
  <c r="Y5" i="33" s="1"/>
  <c r="T4" i="1" l="1"/>
  <c r="T5" i="1"/>
  <c r="X4" i="1"/>
  <c r="X5" i="1"/>
  <c r="Y4" i="1"/>
  <c r="Y5" i="1"/>
  <c r="AA4" i="1"/>
  <c r="AA5" i="1"/>
  <c r="T3" i="1"/>
  <c r="X3" i="1"/>
  <c r="Y3" i="1"/>
  <c r="AA3" i="1"/>
  <c r="AC3" i="5"/>
  <c r="AD3" i="5"/>
  <c r="AE3" i="5"/>
  <c r="AF3" i="5" s="1"/>
  <c r="AK3" i="5" s="1"/>
  <c r="AL3" i="5" s="1"/>
  <c r="AG3" i="5"/>
  <c r="AH3" i="5"/>
  <c r="AI3" i="5"/>
  <c r="AR3" i="5"/>
  <c r="AR4" i="5"/>
  <c r="AR5" i="5"/>
  <c r="AS3" i="5"/>
  <c r="AS4" i="5"/>
  <c r="AS5" i="5"/>
  <c r="AU3" i="5"/>
  <c r="AU4" i="5"/>
  <c r="AU5" i="5"/>
  <c r="G3" i="79"/>
  <c r="G4" i="79"/>
  <c r="G5" i="79"/>
  <c r="H3" i="79"/>
  <c r="E20" i="77" s="1"/>
  <c r="H4" i="79"/>
  <c r="H5" i="79"/>
  <c r="G24" i="77" l="1"/>
  <c r="G11" i="77"/>
  <c r="G10" i="77"/>
  <c r="E26" i="77"/>
  <c r="E24" i="77"/>
  <c r="E16" i="77"/>
  <c r="E11" i="77"/>
  <c r="J24" i="77"/>
  <c r="J17" i="77"/>
  <c r="J20" i="77"/>
  <c r="J19" i="77"/>
  <c r="J13" i="77"/>
  <c r="J23" i="77"/>
  <c r="J18" i="77"/>
  <c r="G18" i="77"/>
  <c r="G20" i="77"/>
  <c r="I20" i="77" s="1"/>
  <c r="G23" i="77"/>
  <c r="G19" i="77"/>
  <c r="G17" i="77"/>
  <c r="G13" i="77"/>
  <c r="AJ3" i="5"/>
  <c r="F214" i="78"/>
  <c r="F213" i="78" l="1"/>
  <c r="F514" i="78" l="1"/>
  <c r="F370" i="78"/>
  <c r="A2" i="85" l="1"/>
  <c r="A3" i="77" l="1"/>
  <c r="I3" i="80" l="1"/>
  <c r="I4" i="80"/>
  <c r="I5" i="80"/>
  <c r="I6" i="80"/>
  <c r="I7" i="80"/>
  <c r="I8" i="80"/>
  <c r="I9" i="80"/>
  <c r="I10" i="80"/>
  <c r="I11" i="80"/>
  <c r="I12" i="80"/>
  <c r="I13" i="80"/>
  <c r="I14" i="80"/>
  <c r="I15" i="80"/>
  <c r="I16" i="80"/>
  <c r="I17" i="80"/>
  <c r="I18" i="80"/>
  <c r="I19" i="80"/>
  <c r="I20" i="80"/>
  <c r="I21" i="80"/>
  <c r="I22" i="80"/>
  <c r="I23" i="80"/>
  <c r="I24" i="80"/>
  <c r="I25" i="80"/>
  <c r="I26" i="80"/>
  <c r="I27" i="80"/>
  <c r="I28" i="80"/>
  <c r="I29" i="80"/>
  <c r="I30" i="80"/>
  <c r="I31" i="80"/>
  <c r="I32" i="80"/>
  <c r="I33" i="80"/>
  <c r="I34" i="80"/>
  <c r="I35" i="80"/>
  <c r="I36" i="80"/>
  <c r="I37" i="80"/>
  <c r="I38" i="80"/>
  <c r="I39" i="80"/>
  <c r="F23" i="77" l="1"/>
  <c r="E15" i="85"/>
  <c r="E23" i="85"/>
  <c r="E24" i="85"/>
  <c r="E16" i="85"/>
  <c r="F22" i="77"/>
  <c r="E22" i="85"/>
  <c r="E25" i="85"/>
  <c r="E29" i="85"/>
  <c r="F21" i="77"/>
  <c r="E27" i="85"/>
  <c r="E18" i="85"/>
  <c r="E13" i="85"/>
  <c r="E8" i="85"/>
  <c r="E19" i="85"/>
  <c r="E7" i="85"/>
  <c r="F12" i="77"/>
  <c r="F16" i="77"/>
  <c r="F18" i="77"/>
  <c r="F19" i="77"/>
  <c r="E14" i="85"/>
  <c r="E17" i="85"/>
  <c r="E28" i="85"/>
  <c r="F24" i="77"/>
  <c r="E26" i="85"/>
  <c r="E20" i="85"/>
  <c r="E21" i="85"/>
  <c r="E9" i="85"/>
  <c r="F17" i="77"/>
  <c r="G28" i="85" l="1"/>
  <c r="G9" i="85"/>
  <c r="G7" i="85"/>
  <c r="G10" i="85"/>
  <c r="G29" i="85"/>
  <c r="G8" i="85"/>
  <c r="I28" i="85"/>
  <c r="I9" i="85"/>
  <c r="I29" i="85"/>
  <c r="I10" i="85"/>
  <c r="I8" i="85"/>
  <c r="I7" i="85"/>
  <c r="D29" i="85"/>
  <c r="D28" i="85"/>
  <c r="F29" i="85" l="1"/>
  <c r="F8" i="85"/>
  <c r="F28" i="85"/>
  <c r="F7" i="85"/>
  <c r="F10" i="85"/>
  <c r="F9" i="85"/>
  <c r="D11" i="85"/>
  <c r="D10" i="85"/>
  <c r="D9" i="85"/>
  <c r="D8" i="85"/>
  <c r="D7" i="85"/>
  <c r="T1" i="85"/>
  <c r="G39" i="85" s="1"/>
  <c r="AT5" i="5" l="1"/>
  <c r="AT4" i="5"/>
  <c r="AT3" i="5"/>
  <c r="Z3" i="1"/>
  <c r="F15" i="77"/>
  <c r="F11" i="77"/>
  <c r="E10" i="85"/>
  <c r="H9" i="85"/>
  <c r="H29" i="85"/>
  <c r="D6" i="85"/>
  <c r="D30" i="85" s="1"/>
  <c r="F27" i="85" l="1"/>
  <c r="F23" i="85"/>
  <c r="F19" i="85"/>
  <c r="F15" i="85"/>
  <c r="F26" i="85"/>
  <c r="F22" i="85"/>
  <c r="F18" i="85"/>
  <c r="F14" i="85"/>
  <c r="F25" i="85"/>
  <c r="F21" i="85"/>
  <c r="F17" i="85"/>
  <c r="F13" i="85"/>
  <c r="F24" i="85"/>
  <c r="F20" i="85"/>
  <c r="F16" i="85"/>
  <c r="F12" i="85"/>
  <c r="G27" i="85"/>
  <c r="G23" i="85"/>
  <c r="G19" i="85"/>
  <c r="G15" i="85"/>
  <c r="G21" i="85"/>
  <c r="G13" i="85"/>
  <c r="G20" i="85"/>
  <c r="G16" i="85"/>
  <c r="G26" i="85"/>
  <c r="G22" i="85"/>
  <c r="G18" i="85"/>
  <c r="G14" i="85"/>
  <c r="G25" i="85"/>
  <c r="G17" i="85"/>
  <c r="G24" i="85"/>
  <c r="G12" i="85"/>
  <c r="I18" i="85"/>
  <c r="I27" i="85"/>
  <c r="I19" i="85"/>
  <c r="I20" i="85"/>
  <c r="I26" i="85"/>
  <c r="I24" i="85"/>
  <c r="I21" i="85"/>
  <c r="I14" i="85"/>
  <c r="I25" i="85"/>
  <c r="I17" i="85"/>
  <c r="I16" i="85"/>
  <c r="I23" i="85"/>
  <c r="I15" i="85"/>
  <c r="I12" i="85"/>
  <c r="I13" i="85"/>
  <c r="I22" i="85"/>
  <c r="F6" i="85"/>
  <c r="G6" i="85"/>
  <c r="G11" i="85" l="1"/>
  <c r="G30" i="85" s="1"/>
  <c r="E10" i="77" l="1"/>
  <c r="E22" i="77"/>
  <c r="E18" i="77"/>
  <c r="E13" i="77"/>
  <c r="E23" i="77"/>
  <c r="E21" i="77"/>
  <c r="E17" i="77"/>
  <c r="E12" i="77"/>
  <c r="E15" i="77"/>
  <c r="E19" i="77"/>
  <c r="L5" i="77" l="1"/>
  <c r="L3" i="77"/>
  <c r="H5" i="77" l="1"/>
  <c r="Q2" i="81"/>
  <c r="Q3" i="81"/>
  <c r="Q4" i="81"/>
  <c r="Q5" i="81"/>
  <c r="L4" i="77" l="1"/>
  <c r="A2" i="77"/>
  <c r="F5" i="77" l="1"/>
  <c r="G22" i="77" l="1"/>
  <c r="G16" i="77"/>
  <c r="G15" i="77"/>
  <c r="G21" i="77"/>
  <c r="G12" i="77"/>
  <c r="H16" i="77" l="1"/>
  <c r="H15" i="77"/>
  <c r="H12" i="77"/>
  <c r="H22" i="77"/>
  <c r="H21" i="77"/>
  <c r="F11" i="85"/>
  <c r="F30" i="85" s="1"/>
  <c r="F43" i="78"/>
  <c r="F4" i="78"/>
  <c r="F8" i="78"/>
  <c r="F13" i="78"/>
  <c r="F17" i="78"/>
  <c r="F40" i="78"/>
  <c r="F41" i="78"/>
  <c r="F42" i="78"/>
  <c r="F45" i="78"/>
  <c r="F46" i="78"/>
  <c r="F47" i="78"/>
  <c r="F48" i="78"/>
  <c r="F49" i="78"/>
  <c r="F50" i="78"/>
  <c r="F51" i="78"/>
  <c r="F52" i="78"/>
  <c r="F53" i="78"/>
  <c r="F54" i="78"/>
  <c r="F55" i="78"/>
  <c r="F56" i="78"/>
  <c r="F57" i="78"/>
  <c r="F58" i="78"/>
  <c r="F59" i="78"/>
  <c r="F60" i="78"/>
  <c r="F61" i="78"/>
  <c r="F62" i="78"/>
  <c r="F70" i="78"/>
  <c r="F81" i="78"/>
  <c r="F220" i="78"/>
  <c r="F66" i="78"/>
  <c r="F44" i="78"/>
  <c r="F64" i="78"/>
  <c r="F85" i="78"/>
  <c r="F87" i="78"/>
  <c r="F71" i="78"/>
  <c r="F80" i="78"/>
  <c r="F74" i="78"/>
  <c r="E1169" i="7"/>
  <c r="E1170" i="7"/>
  <c r="E1171" i="7"/>
  <c r="E1172" i="7"/>
  <c r="E1173" i="7"/>
  <c r="E1174" i="7"/>
  <c r="E1175" i="7"/>
  <c r="E1176" i="7"/>
  <c r="E1177" i="7"/>
  <c r="E1178" i="7"/>
  <c r="E1179" i="7"/>
  <c r="E1180" i="7"/>
  <c r="E1181" i="7"/>
  <c r="E1182" i="7"/>
  <c r="E1183" i="7"/>
  <c r="E1184" i="7"/>
  <c r="E1185" i="7"/>
  <c r="E1186" i="7"/>
  <c r="E1187" i="7"/>
  <c r="E1188" i="7"/>
  <c r="E1189" i="7"/>
  <c r="E1190" i="7"/>
  <c r="E1191" i="7"/>
  <c r="E1192" i="7"/>
  <c r="E1193" i="7"/>
  <c r="E1194" i="7"/>
  <c r="E1195" i="7"/>
  <c r="E1196" i="7"/>
  <c r="E1197" i="7"/>
  <c r="E1198" i="7"/>
  <c r="E1199" i="7"/>
  <c r="E1200" i="7"/>
  <c r="E1201" i="7"/>
  <c r="E1202" i="7"/>
  <c r="E1203" i="7"/>
  <c r="E1204" i="7"/>
  <c r="E1205" i="7"/>
  <c r="E14" i="77" l="1"/>
  <c r="E9" i="77"/>
  <c r="O1" i="77"/>
  <c r="I48" i="77" s="1"/>
  <c r="F3" i="78"/>
  <c r="F5" i="78"/>
  <c r="F6" i="78"/>
  <c r="F7" i="78"/>
  <c r="F9" i="78"/>
  <c r="F10" i="78"/>
  <c r="F11" i="78"/>
  <c r="F12" i="78"/>
  <c r="F14" i="78"/>
  <c r="F15" i="78"/>
  <c r="F16" i="78"/>
  <c r="F18" i="78"/>
  <c r="F19" i="78"/>
  <c r="F20" i="78"/>
  <c r="F21" i="78"/>
  <c r="F22" i="78"/>
  <c r="F23" i="78"/>
  <c r="F24" i="78"/>
  <c r="F25" i="78"/>
  <c r="F26" i="78"/>
  <c r="F27" i="78"/>
  <c r="F28" i="78"/>
  <c r="F29" i="78"/>
  <c r="F30" i="78"/>
  <c r="F31" i="78"/>
  <c r="F32" i="78"/>
  <c r="F33" i="78"/>
  <c r="F34" i="78"/>
  <c r="F35" i="78"/>
  <c r="F36" i="78"/>
  <c r="F37" i="78"/>
  <c r="F38" i="78"/>
  <c r="F39" i="78"/>
  <c r="F63" i="78"/>
  <c r="F65" i="78"/>
  <c r="F67" i="78"/>
  <c r="F68" i="78"/>
  <c r="F69" i="78"/>
  <c r="F72" i="78"/>
  <c r="F73" i="78"/>
  <c r="F75" i="78"/>
  <c r="F76" i="78"/>
  <c r="F77" i="78"/>
  <c r="F78" i="78"/>
  <c r="F79" i="78"/>
  <c r="F82" i="78"/>
  <c r="F83" i="78"/>
  <c r="F84" i="78"/>
  <c r="F86" i="78"/>
  <c r="F88" i="78"/>
  <c r="F89" i="78"/>
  <c r="F90" i="78"/>
  <c r="F91" i="78"/>
  <c r="F92" i="78"/>
  <c r="F93" i="78"/>
  <c r="F94" i="78"/>
  <c r="F95" i="78"/>
  <c r="F96" i="78"/>
  <c r="F97" i="78"/>
  <c r="F98" i="78"/>
  <c r="F99" i="78"/>
  <c r="F100" i="78"/>
  <c r="F101" i="78"/>
  <c r="F102" i="78"/>
  <c r="F103" i="78"/>
  <c r="F104" i="78"/>
  <c r="F105" i="78"/>
  <c r="F106" i="78"/>
  <c r="F107" i="78"/>
  <c r="F108" i="78"/>
  <c r="F109" i="78"/>
  <c r="F110" i="78"/>
  <c r="F111" i="78"/>
  <c r="F112" i="78"/>
  <c r="F113" i="78"/>
  <c r="F114" i="78"/>
  <c r="F115" i="78"/>
  <c r="F116" i="78"/>
  <c r="F117" i="78"/>
  <c r="F118" i="78"/>
  <c r="F119" i="78"/>
  <c r="F120" i="78"/>
  <c r="F121" i="78"/>
  <c r="F122" i="78"/>
  <c r="F123" i="78"/>
  <c r="F124" i="78"/>
  <c r="F125" i="78"/>
  <c r="F126" i="78"/>
  <c r="F127" i="78"/>
  <c r="F128" i="78"/>
  <c r="F129" i="78"/>
  <c r="F130" i="78"/>
  <c r="F131" i="78"/>
  <c r="F132" i="78"/>
  <c r="F133" i="78"/>
  <c r="F134" i="78"/>
  <c r="F135" i="78"/>
  <c r="F136" i="78"/>
  <c r="F137" i="78"/>
  <c r="F138" i="78"/>
  <c r="F139" i="78"/>
  <c r="F140" i="78"/>
  <c r="F141" i="78"/>
  <c r="F142" i="78"/>
  <c r="F143" i="78"/>
  <c r="F144" i="78"/>
  <c r="F145" i="78"/>
  <c r="F146" i="78"/>
  <c r="F147" i="78"/>
  <c r="F148" i="78"/>
  <c r="F149" i="78"/>
  <c r="F150" i="78"/>
  <c r="F151" i="78"/>
  <c r="F152" i="78"/>
  <c r="F153" i="78"/>
  <c r="F154" i="78"/>
  <c r="F155" i="78"/>
  <c r="F156" i="78"/>
  <c r="F157" i="78"/>
  <c r="F158" i="78"/>
  <c r="F159" i="78"/>
  <c r="F160" i="78"/>
  <c r="F161" i="78"/>
  <c r="F162" i="78"/>
  <c r="F163" i="78"/>
  <c r="F164" i="78"/>
  <c r="F165" i="78"/>
  <c r="F166" i="78"/>
  <c r="F167" i="78"/>
  <c r="F168" i="78"/>
  <c r="F169" i="78"/>
  <c r="F170" i="78"/>
  <c r="F171" i="78"/>
  <c r="F172" i="78"/>
  <c r="F173" i="78"/>
  <c r="F174" i="78"/>
  <c r="F175" i="78"/>
  <c r="F176" i="78"/>
  <c r="F177" i="78"/>
  <c r="F178" i="78"/>
  <c r="F179" i="78"/>
  <c r="F180" i="78"/>
  <c r="F181" i="78"/>
  <c r="F182" i="78"/>
  <c r="F183" i="78"/>
  <c r="F184" i="78"/>
  <c r="F185" i="78"/>
  <c r="F186" i="78"/>
  <c r="F187" i="78"/>
  <c r="F188" i="78"/>
  <c r="F189" i="78"/>
  <c r="F190" i="78"/>
  <c r="F191" i="78"/>
  <c r="F192" i="78"/>
  <c r="F193" i="78"/>
  <c r="F194" i="78"/>
  <c r="F195" i="78"/>
  <c r="F196" i="78"/>
  <c r="F197" i="78"/>
  <c r="F198" i="78"/>
  <c r="F199" i="78"/>
  <c r="F200" i="78"/>
  <c r="F201" i="78"/>
  <c r="F202" i="78"/>
  <c r="F203" i="78"/>
  <c r="F204" i="78"/>
  <c r="F205" i="78"/>
  <c r="F206" i="78"/>
  <c r="F207" i="78"/>
  <c r="F208" i="78"/>
  <c r="F209" i="78"/>
  <c r="F210" i="78"/>
  <c r="F211" i="78"/>
  <c r="F212" i="78"/>
  <c r="F215" i="78"/>
  <c r="F216" i="78"/>
  <c r="F217" i="78"/>
  <c r="F218" i="78"/>
  <c r="F219" i="78"/>
  <c r="F221" i="78"/>
  <c r="F222" i="78"/>
  <c r="F223" i="78"/>
  <c r="F224" i="78"/>
  <c r="F225" i="78"/>
  <c r="F226" i="78"/>
  <c r="F227" i="78"/>
  <c r="F228" i="78"/>
  <c r="F229" i="78"/>
  <c r="F230" i="78"/>
  <c r="F231" i="78"/>
  <c r="F232" i="78"/>
  <c r="F233" i="78"/>
  <c r="F234" i="78"/>
  <c r="F235" i="78"/>
  <c r="F236" i="78"/>
  <c r="F237" i="78"/>
  <c r="F238" i="78"/>
  <c r="F239" i="78"/>
  <c r="F240" i="78"/>
  <c r="F241" i="78"/>
  <c r="F242" i="78"/>
  <c r="F243" i="78"/>
  <c r="F244" i="78"/>
  <c r="F245" i="78"/>
  <c r="F246" i="78"/>
  <c r="F247" i="78"/>
  <c r="F248" i="78"/>
  <c r="F249" i="78"/>
  <c r="F250" i="78"/>
  <c r="F251" i="78"/>
  <c r="F252" i="78"/>
  <c r="F253" i="78"/>
  <c r="F254" i="78"/>
  <c r="F255" i="78"/>
  <c r="F256" i="78"/>
  <c r="F257" i="78"/>
  <c r="F258" i="78"/>
  <c r="F259" i="78"/>
  <c r="F260" i="78"/>
  <c r="F261" i="78"/>
  <c r="F262" i="78"/>
  <c r="F263" i="78"/>
  <c r="F264" i="78"/>
  <c r="F265" i="78"/>
  <c r="F266" i="78"/>
  <c r="F267" i="78"/>
  <c r="F268" i="78"/>
  <c r="F269" i="78"/>
  <c r="F270" i="78"/>
  <c r="F271" i="78"/>
  <c r="F272" i="78"/>
  <c r="F273" i="78"/>
  <c r="F274" i="78"/>
  <c r="F275" i="78"/>
  <c r="F276" i="78"/>
  <c r="F277" i="78"/>
  <c r="F278" i="78"/>
  <c r="F279" i="78"/>
  <c r="F280" i="78"/>
  <c r="F281" i="78"/>
  <c r="F282" i="78"/>
  <c r="F283" i="78"/>
  <c r="F284" i="78"/>
  <c r="F285" i="78"/>
  <c r="F286" i="78"/>
  <c r="F287" i="78"/>
  <c r="F288" i="78"/>
  <c r="F289" i="78"/>
  <c r="F290" i="78"/>
  <c r="F291" i="78"/>
  <c r="F292" i="78"/>
  <c r="F293" i="78"/>
  <c r="F294" i="78"/>
  <c r="F295" i="78"/>
  <c r="F296" i="78"/>
  <c r="F297" i="78"/>
  <c r="F298" i="78"/>
  <c r="F299" i="78"/>
  <c r="F300" i="78"/>
  <c r="F301" i="78"/>
  <c r="F302" i="78"/>
  <c r="F303" i="78"/>
  <c r="F304" i="78"/>
  <c r="F305" i="78"/>
  <c r="F306" i="78"/>
  <c r="F307" i="78"/>
  <c r="F308" i="78"/>
  <c r="F309" i="78"/>
  <c r="F310" i="78"/>
  <c r="F311" i="78"/>
  <c r="F312" i="78"/>
  <c r="F313" i="78"/>
  <c r="F314" i="78"/>
  <c r="F315" i="78"/>
  <c r="F316" i="78"/>
  <c r="F317" i="78"/>
  <c r="F318" i="78"/>
  <c r="F319" i="78"/>
  <c r="F320" i="78"/>
  <c r="F321" i="78"/>
  <c r="F322" i="78"/>
  <c r="F323" i="78"/>
  <c r="F324" i="78"/>
  <c r="F325" i="78"/>
  <c r="F326" i="78"/>
  <c r="F327" i="78"/>
  <c r="F328" i="78"/>
  <c r="F329" i="78"/>
  <c r="F330" i="78"/>
  <c r="F331" i="78"/>
  <c r="F332" i="78"/>
  <c r="F333" i="78"/>
  <c r="F334" i="78"/>
  <c r="F335" i="78"/>
  <c r="F336" i="78"/>
  <c r="F337" i="78"/>
  <c r="F338" i="78"/>
  <c r="F339" i="78"/>
  <c r="F340" i="78"/>
  <c r="F341" i="78"/>
  <c r="F342" i="78"/>
  <c r="F343" i="78"/>
  <c r="F344" i="78"/>
  <c r="F345" i="78"/>
  <c r="F346" i="78"/>
  <c r="F347" i="78"/>
  <c r="F348" i="78"/>
  <c r="F349" i="78"/>
  <c r="F350" i="78"/>
  <c r="F351" i="78"/>
  <c r="F352" i="78"/>
  <c r="F353" i="78"/>
  <c r="F354" i="78"/>
  <c r="F355" i="78"/>
  <c r="F356" i="78"/>
  <c r="F357" i="78"/>
  <c r="F358" i="78"/>
  <c r="F359" i="78"/>
  <c r="F360" i="78"/>
  <c r="F361" i="78"/>
  <c r="F362" i="78"/>
  <c r="F363" i="78"/>
  <c r="F364" i="78"/>
  <c r="F365" i="78"/>
  <c r="F366" i="78"/>
  <c r="F367" i="78"/>
  <c r="F368" i="78"/>
  <c r="F369" i="78"/>
  <c r="F371" i="78"/>
  <c r="F372" i="78"/>
  <c r="F373" i="78"/>
  <c r="F374" i="78"/>
  <c r="F375" i="78"/>
  <c r="F376" i="78"/>
  <c r="F377" i="78"/>
  <c r="F378" i="78"/>
  <c r="F379" i="78"/>
  <c r="F380" i="78"/>
  <c r="F381" i="78"/>
  <c r="F382" i="78"/>
  <c r="F383" i="78"/>
  <c r="F384" i="78"/>
  <c r="F385" i="78"/>
  <c r="F386" i="78"/>
  <c r="F387" i="78"/>
  <c r="F388" i="78"/>
  <c r="F389" i="78"/>
  <c r="F390" i="78"/>
  <c r="F391" i="78"/>
  <c r="F392" i="78"/>
  <c r="F393" i="78"/>
  <c r="F394" i="78"/>
  <c r="F395" i="78"/>
  <c r="F396" i="78"/>
  <c r="F397" i="78"/>
  <c r="F398" i="78"/>
  <c r="F399" i="78"/>
  <c r="F400" i="78"/>
  <c r="F401" i="78"/>
  <c r="F402" i="78"/>
  <c r="F403" i="78"/>
  <c r="F404" i="78"/>
  <c r="F405" i="78"/>
  <c r="F406" i="78"/>
  <c r="F407" i="78"/>
  <c r="F408" i="78"/>
  <c r="F409" i="78"/>
  <c r="F410" i="78"/>
  <c r="F411" i="78"/>
  <c r="F412" i="78"/>
  <c r="F413" i="78"/>
  <c r="F414" i="78"/>
  <c r="F415" i="78"/>
  <c r="F416" i="78"/>
  <c r="F417" i="78"/>
  <c r="F418" i="78"/>
  <c r="F419" i="78"/>
  <c r="F420" i="78"/>
  <c r="F421" i="78"/>
  <c r="F422" i="78"/>
  <c r="F423" i="78"/>
  <c r="F424" i="78"/>
  <c r="F425" i="78"/>
  <c r="F426" i="78"/>
  <c r="F427" i="78"/>
  <c r="F428" i="78"/>
  <c r="F429" i="78"/>
  <c r="F430" i="78"/>
  <c r="F431" i="78"/>
  <c r="F432" i="78"/>
  <c r="F433" i="78"/>
  <c r="F434" i="78"/>
  <c r="F435" i="78"/>
  <c r="F436" i="78"/>
  <c r="F437" i="78"/>
  <c r="F438" i="78"/>
  <c r="F439" i="78"/>
  <c r="F440" i="78"/>
  <c r="F441" i="78"/>
  <c r="F442" i="78"/>
  <c r="F443" i="78"/>
  <c r="F444" i="78"/>
  <c r="F445" i="78"/>
  <c r="F446" i="78"/>
  <c r="F447" i="78"/>
  <c r="F448" i="78"/>
  <c r="F449" i="78"/>
  <c r="F450" i="78"/>
  <c r="F451" i="78"/>
  <c r="F452" i="78"/>
  <c r="F453" i="78"/>
  <c r="F454" i="78"/>
  <c r="F455" i="78"/>
  <c r="F456" i="78"/>
  <c r="F457" i="78"/>
  <c r="F458" i="78"/>
  <c r="F459" i="78"/>
  <c r="F460" i="78"/>
  <c r="F461" i="78"/>
  <c r="F462" i="78"/>
  <c r="F463" i="78"/>
  <c r="F464" i="78"/>
  <c r="F465" i="78"/>
  <c r="F466" i="78"/>
  <c r="F467" i="78"/>
  <c r="F468" i="78"/>
  <c r="F469" i="78"/>
  <c r="F470" i="78"/>
  <c r="F471" i="78"/>
  <c r="F472" i="78"/>
  <c r="F473" i="78"/>
  <c r="F474" i="78"/>
  <c r="F475" i="78"/>
  <c r="F476" i="78"/>
  <c r="F477" i="78"/>
  <c r="F478" i="78"/>
  <c r="F479" i="78"/>
  <c r="F480" i="78"/>
  <c r="F481" i="78"/>
  <c r="F482" i="78"/>
  <c r="F483" i="78"/>
  <c r="F484" i="78"/>
  <c r="F485" i="78"/>
  <c r="F486" i="78"/>
  <c r="F487" i="78"/>
  <c r="F488" i="78"/>
  <c r="F489" i="78"/>
  <c r="F490" i="78"/>
  <c r="F491" i="78"/>
  <c r="F492" i="78"/>
  <c r="F493" i="78"/>
  <c r="F494" i="78"/>
  <c r="F495" i="78"/>
  <c r="F496" i="78"/>
  <c r="F497" i="78"/>
  <c r="F498" i="78"/>
  <c r="F499" i="78"/>
  <c r="F500" i="78"/>
  <c r="F501" i="78"/>
  <c r="F502" i="78"/>
  <c r="F503" i="78"/>
  <c r="F504" i="78"/>
  <c r="F505" i="78"/>
  <c r="F506" i="78"/>
  <c r="F507" i="78"/>
  <c r="F508" i="78"/>
  <c r="F509" i="78"/>
  <c r="F510" i="78"/>
  <c r="F511" i="78"/>
  <c r="F512" i="78"/>
  <c r="F513" i="78"/>
  <c r="F515" i="78"/>
  <c r="F516" i="78"/>
  <c r="F517" i="78"/>
  <c r="F518" i="78"/>
  <c r="F519" i="78"/>
  <c r="F520" i="78"/>
  <c r="F521" i="78"/>
  <c r="F522" i="78"/>
  <c r="F523" i="78"/>
  <c r="F524" i="78"/>
  <c r="F525" i="78"/>
  <c r="P3" i="8"/>
  <c r="P4" i="8"/>
  <c r="P5" i="8"/>
  <c r="E666" i="7"/>
  <c r="B5" i="77"/>
  <c r="E1168" i="7"/>
  <c r="E1167" i="7"/>
  <c r="E1166" i="7"/>
  <c r="E1165" i="7"/>
  <c r="E1164" i="7"/>
  <c r="E1163" i="7"/>
  <c r="E1162" i="7"/>
  <c r="E1161" i="7"/>
  <c r="E1160" i="7"/>
  <c r="E1159" i="7"/>
  <c r="E1158" i="7"/>
  <c r="E1157" i="7"/>
  <c r="E1156" i="7"/>
  <c r="E1155" i="7"/>
  <c r="E1154" i="7"/>
  <c r="E1153" i="7"/>
  <c r="E1152" i="7"/>
  <c r="E1151" i="7"/>
  <c r="E1150" i="7"/>
  <c r="E1149" i="7"/>
  <c r="E1148" i="7"/>
  <c r="E1147" i="7"/>
  <c r="E1146" i="7"/>
  <c r="E1145" i="7"/>
  <c r="E1144" i="7"/>
  <c r="E1143" i="7"/>
  <c r="E1142" i="7"/>
  <c r="E1141" i="7"/>
  <c r="E1140" i="7"/>
  <c r="E1139" i="7"/>
  <c r="E1138" i="7"/>
  <c r="E1137" i="7"/>
  <c r="E1136" i="7"/>
  <c r="E1135" i="7"/>
  <c r="E1134" i="7"/>
  <c r="E1133" i="7"/>
  <c r="E1132" i="7"/>
  <c r="E1131" i="7"/>
  <c r="E1130" i="7"/>
  <c r="E1129" i="7"/>
  <c r="E1128" i="7"/>
  <c r="E1127" i="7"/>
  <c r="E1126" i="7"/>
  <c r="E1125" i="7"/>
  <c r="E1124" i="7"/>
  <c r="E1123" i="7"/>
  <c r="E1122" i="7"/>
  <c r="E1121" i="7"/>
  <c r="E1120" i="7"/>
  <c r="E1119" i="7"/>
  <c r="E1118" i="7"/>
  <c r="E1117" i="7"/>
  <c r="E1116" i="7"/>
  <c r="E1115" i="7"/>
  <c r="E1114" i="7"/>
  <c r="E1113" i="7"/>
  <c r="E1112" i="7"/>
  <c r="E1111" i="7"/>
  <c r="E1110" i="7"/>
  <c r="E1109" i="7"/>
  <c r="E1108" i="7"/>
  <c r="E1107" i="7"/>
  <c r="E1106" i="7"/>
  <c r="E1105" i="7"/>
  <c r="E1104" i="7"/>
  <c r="E1103" i="7"/>
  <c r="E1102" i="7"/>
  <c r="E1101" i="7"/>
  <c r="E1100" i="7"/>
  <c r="E1099" i="7"/>
  <c r="E1098" i="7"/>
  <c r="E1097" i="7"/>
  <c r="E1096" i="7"/>
  <c r="E1095" i="7"/>
  <c r="E1094" i="7"/>
  <c r="E1093" i="7"/>
  <c r="E1092" i="7"/>
  <c r="E1091" i="7"/>
  <c r="E1090" i="7"/>
  <c r="E1089" i="7"/>
  <c r="E1088" i="7"/>
  <c r="E1087" i="7"/>
  <c r="E1086" i="7"/>
  <c r="E1085" i="7"/>
  <c r="E1084" i="7"/>
  <c r="E1083" i="7"/>
  <c r="E1082" i="7"/>
  <c r="E1081" i="7"/>
  <c r="E1080" i="7"/>
  <c r="E1079" i="7"/>
  <c r="E1078" i="7"/>
  <c r="E1077" i="7"/>
  <c r="E1076" i="7"/>
  <c r="E1075" i="7"/>
  <c r="E1074" i="7"/>
  <c r="E1073" i="7"/>
  <c r="E1072" i="7"/>
  <c r="E1071" i="7"/>
  <c r="E1070" i="7"/>
  <c r="E1069" i="7"/>
  <c r="E1068" i="7"/>
  <c r="E1067" i="7"/>
  <c r="E1066" i="7"/>
  <c r="E1065" i="7"/>
  <c r="E1064" i="7"/>
  <c r="E1063" i="7"/>
  <c r="E1062" i="7"/>
  <c r="E1061" i="7"/>
  <c r="E1060" i="7"/>
  <c r="E1059" i="7"/>
  <c r="E1058" i="7"/>
  <c r="E1057" i="7"/>
  <c r="E1056" i="7"/>
  <c r="E1055" i="7"/>
  <c r="E1054" i="7"/>
  <c r="E1053" i="7"/>
  <c r="E1052" i="7"/>
  <c r="E1051" i="7"/>
  <c r="E1050" i="7"/>
  <c r="E1049" i="7"/>
  <c r="E1048" i="7"/>
  <c r="E1047" i="7"/>
  <c r="E1046" i="7"/>
  <c r="E1045" i="7"/>
  <c r="E1044" i="7"/>
  <c r="E1043" i="7"/>
  <c r="E1042" i="7"/>
  <c r="E1041" i="7"/>
  <c r="E1040" i="7"/>
  <c r="E1039" i="7"/>
  <c r="E1038" i="7"/>
  <c r="E1037" i="7"/>
  <c r="E1036" i="7"/>
  <c r="E1035" i="7"/>
  <c r="E1034" i="7"/>
  <c r="E1033" i="7"/>
  <c r="E1032" i="7"/>
  <c r="E1031" i="7"/>
  <c r="E1030" i="7"/>
  <c r="E1029" i="7"/>
  <c r="E1028" i="7"/>
  <c r="E1027" i="7"/>
  <c r="E1026" i="7"/>
  <c r="E1025" i="7"/>
  <c r="E1024" i="7"/>
  <c r="E1023" i="7"/>
  <c r="E1022" i="7"/>
  <c r="E1021" i="7"/>
  <c r="E1020" i="7"/>
  <c r="E1019" i="7"/>
  <c r="E1018" i="7"/>
  <c r="E1017" i="7"/>
  <c r="E1016" i="7"/>
  <c r="E1015" i="7"/>
  <c r="E1014" i="7"/>
  <c r="E1013" i="7"/>
  <c r="E1012" i="7"/>
  <c r="E1011" i="7"/>
  <c r="E1010" i="7"/>
  <c r="E1009" i="7"/>
  <c r="E1008" i="7"/>
  <c r="E1007" i="7"/>
  <c r="E1006" i="7"/>
  <c r="E1005" i="7"/>
  <c r="E1004" i="7"/>
  <c r="E1003" i="7"/>
  <c r="E1002" i="7"/>
  <c r="E1001" i="7"/>
  <c r="E1000" i="7"/>
  <c r="E999" i="7"/>
  <c r="E998" i="7"/>
  <c r="E997" i="7"/>
  <c r="E996" i="7"/>
  <c r="E995" i="7"/>
  <c r="E994" i="7"/>
  <c r="E993" i="7"/>
  <c r="E992" i="7"/>
  <c r="E991" i="7"/>
  <c r="E990" i="7"/>
  <c r="E989" i="7"/>
  <c r="E988" i="7"/>
  <c r="E987" i="7"/>
  <c r="E986" i="7"/>
  <c r="E985" i="7"/>
  <c r="E984" i="7"/>
  <c r="E983" i="7"/>
  <c r="E982" i="7"/>
  <c r="E981" i="7"/>
  <c r="E980" i="7"/>
  <c r="E979" i="7"/>
  <c r="E978" i="7"/>
  <c r="E977" i="7"/>
  <c r="E976" i="7"/>
  <c r="E975" i="7"/>
  <c r="E974" i="7"/>
  <c r="E973" i="7"/>
  <c r="E972" i="7"/>
  <c r="E971" i="7"/>
  <c r="E970" i="7"/>
  <c r="E969" i="7"/>
  <c r="E968" i="7"/>
  <c r="E967" i="7"/>
  <c r="E966" i="7"/>
  <c r="E965" i="7"/>
  <c r="E964" i="7"/>
  <c r="E963" i="7"/>
  <c r="E962" i="7"/>
  <c r="E961" i="7"/>
  <c r="E960" i="7"/>
  <c r="E959" i="7"/>
  <c r="E958" i="7"/>
  <c r="E957" i="7"/>
  <c r="E956" i="7"/>
  <c r="E955" i="7"/>
  <c r="E954" i="7"/>
  <c r="E953" i="7"/>
  <c r="E952" i="7"/>
  <c r="E951" i="7"/>
  <c r="E950" i="7"/>
  <c r="E949" i="7"/>
  <c r="E948" i="7"/>
  <c r="E947" i="7"/>
  <c r="E946" i="7"/>
  <c r="E945" i="7"/>
  <c r="E944" i="7"/>
  <c r="E943" i="7"/>
  <c r="E942" i="7"/>
  <c r="E941" i="7"/>
  <c r="E940" i="7"/>
  <c r="E939" i="7"/>
  <c r="E938" i="7"/>
  <c r="E937" i="7"/>
  <c r="E936" i="7"/>
  <c r="E935" i="7"/>
  <c r="E934" i="7"/>
  <c r="E933" i="7"/>
  <c r="E932" i="7"/>
  <c r="E931" i="7"/>
  <c r="E930" i="7"/>
  <c r="E929" i="7"/>
  <c r="E928" i="7"/>
  <c r="E927" i="7"/>
  <c r="E926" i="7"/>
  <c r="E925" i="7"/>
  <c r="E924" i="7"/>
  <c r="E923" i="7"/>
  <c r="E922" i="7"/>
  <c r="E921" i="7"/>
  <c r="E920" i="7"/>
  <c r="E919" i="7"/>
  <c r="E918" i="7"/>
  <c r="E917" i="7"/>
  <c r="E916" i="7"/>
  <c r="E915" i="7"/>
  <c r="E914" i="7"/>
  <c r="E913" i="7"/>
  <c r="E912" i="7"/>
  <c r="E911" i="7"/>
  <c r="E910" i="7"/>
  <c r="E909" i="7"/>
  <c r="E908" i="7"/>
  <c r="E907" i="7"/>
  <c r="E906" i="7"/>
  <c r="E905" i="7"/>
  <c r="E904" i="7"/>
  <c r="E903" i="7"/>
  <c r="E902" i="7"/>
  <c r="E901" i="7"/>
  <c r="E900" i="7"/>
  <c r="E899" i="7"/>
  <c r="E898" i="7"/>
  <c r="E897" i="7"/>
  <c r="E896" i="7"/>
  <c r="E895" i="7"/>
  <c r="E894" i="7"/>
  <c r="E893" i="7"/>
  <c r="E892" i="7"/>
  <c r="E891" i="7"/>
  <c r="E890" i="7"/>
  <c r="E889" i="7"/>
  <c r="E888" i="7"/>
  <c r="E887" i="7"/>
  <c r="E886" i="7"/>
  <c r="E885" i="7"/>
  <c r="E884" i="7"/>
  <c r="E883" i="7"/>
  <c r="E882" i="7"/>
  <c r="E881" i="7"/>
  <c r="E880" i="7"/>
  <c r="E879" i="7"/>
  <c r="E878" i="7"/>
  <c r="E877" i="7"/>
  <c r="E876" i="7"/>
  <c r="E875" i="7"/>
  <c r="E874" i="7"/>
  <c r="E873" i="7"/>
  <c r="E872" i="7"/>
  <c r="E871" i="7"/>
  <c r="E870" i="7"/>
  <c r="E869" i="7"/>
  <c r="E868" i="7"/>
  <c r="E867" i="7"/>
  <c r="E866" i="7"/>
  <c r="E865" i="7"/>
  <c r="E864" i="7"/>
  <c r="E863" i="7"/>
  <c r="E862" i="7"/>
  <c r="E861" i="7"/>
  <c r="E860" i="7"/>
  <c r="E859" i="7"/>
  <c r="E858" i="7"/>
  <c r="E857" i="7"/>
  <c r="E856" i="7"/>
  <c r="E855" i="7"/>
  <c r="E854" i="7"/>
  <c r="E853" i="7"/>
  <c r="E852" i="7"/>
  <c r="E851" i="7"/>
  <c r="E850" i="7"/>
  <c r="E849" i="7"/>
  <c r="E848" i="7"/>
  <c r="E847" i="7"/>
  <c r="E846" i="7"/>
  <c r="E845" i="7"/>
  <c r="E844" i="7"/>
  <c r="E843" i="7"/>
  <c r="E842" i="7"/>
  <c r="E841" i="7"/>
  <c r="E840" i="7"/>
  <c r="E839" i="7"/>
  <c r="E838" i="7"/>
  <c r="E837" i="7"/>
  <c r="E836" i="7"/>
  <c r="E835" i="7"/>
  <c r="E834" i="7"/>
  <c r="E833" i="7"/>
  <c r="E832" i="7"/>
  <c r="E831" i="7"/>
  <c r="E830" i="7"/>
  <c r="E829" i="7"/>
  <c r="E828" i="7"/>
  <c r="E827" i="7"/>
  <c r="E826" i="7"/>
  <c r="E825" i="7"/>
  <c r="E824" i="7"/>
  <c r="E823" i="7"/>
  <c r="E822" i="7"/>
  <c r="E821" i="7"/>
  <c r="E820" i="7"/>
  <c r="E819" i="7"/>
  <c r="E818" i="7"/>
  <c r="E817" i="7"/>
  <c r="E816" i="7"/>
  <c r="E815" i="7"/>
  <c r="E814" i="7"/>
  <c r="E813" i="7"/>
  <c r="E812" i="7"/>
  <c r="E811" i="7"/>
  <c r="E810" i="7"/>
  <c r="E809" i="7"/>
  <c r="E808" i="7"/>
  <c r="E807" i="7"/>
  <c r="E806" i="7"/>
  <c r="E805" i="7"/>
  <c r="E804" i="7"/>
  <c r="E803" i="7"/>
  <c r="E802" i="7"/>
  <c r="E801" i="7"/>
  <c r="E800" i="7"/>
  <c r="E799" i="7"/>
  <c r="E798" i="7"/>
  <c r="E797" i="7"/>
  <c r="E796" i="7"/>
  <c r="E795" i="7"/>
  <c r="E794" i="7"/>
  <c r="E793" i="7"/>
  <c r="E792" i="7"/>
  <c r="E791" i="7"/>
  <c r="E790" i="7"/>
  <c r="E789" i="7"/>
  <c r="E788" i="7"/>
  <c r="E787" i="7"/>
  <c r="E786" i="7"/>
  <c r="E785" i="7"/>
  <c r="E784" i="7"/>
  <c r="E783" i="7"/>
  <c r="E782" i="7"/>
  <c r="E781" i="7"/>
  <c r="E780" i="7"/>
  <c r="E779" i="7"/>
  <c r="E778" i="7"/>
  <c r="E777" i="7"/>
  <c r="E776" i="7"/>
  <c r="E775" i="7"/>
  <c r="E774" i="7"/>
  <c r="E773" i="7"/>
  <c r="E772" i="7"/>
  <c r="E771" i="7"/>
  <c r="E770" i="7"/>
  <c r="E769" i="7"/>
  <c r="E768" i="7"/>
  <c r="E767" i="7"/>
  <c r="E766" i="7"/>
  <c r="E765" i="7"/>
  <c r="E764" i="7"/>
  <c r="E763" i="7"/>
  <c r="E762" i="7"/>
  <c r="E761" i="7"/>
  <c r="E760" i="7"/>
  <c r="E759" i="7"/>
  <c r="E758" i="7"/>
  <c r="E757" i="7"/>
  <c r="E756" i="7"/>
  <c r="E755" i="7"/>
  <c r="E754" i="7"/>
  <c r="E753" i="7"/>
  <c r="E752" i="7"/>
  <c r="E751" i="7"/>
  <c r="E750" i="7"/>
  <c r="E749" i="7"/>
  <c r="E748" i="7"/>
  <c r="E747" i="7"/>
  <c r="E746" i="7"/>
  <c r="E745" i="7"/>
  <c r="E744" i="7"/>
  <c r="E743" i="7"/>
  <c r="E742" i="7"/>
  <c r="E741" i="7"/>
  <c r="E740" i="7"/>
  <c r="E739" i="7"/>
  <c r="E738" i="7"/>
  <c r="E737" i="7"/>
  <c r="E736" i="7"/>
  <c r="E735" i="7"/>
  <c r="E734" i="7"/>
  <c r="E733" i="7"/>
  <c r="E732" i="7"/>
  <c r="E731" i="7"/>
  <c r="E730" i="7"/>
  <c r="E729" i="7"/>
  <c r="E728" i="7"/>
  <c r="E727" i="7"/>
  <c r="E726" i="7"/>
  <c r="E725" i="7"/>
  <c r="E724" i="7"/>
  <c r="E723" i="7"/>
  <c r="E722" i="7"/>
  <c r="E721" i="7"/>
  <c r="E720" i="7"/>
  <c r="E719" i="7"/>
  <c r="E718" i="7"/>
  <c r="E717" i="7"/>
  <c r="E716" i="7"/>
  <c r="E715" i="7"/>
  <c r="E714" i="7"/>
  <c r="E713" i="7"/>
  <c r="E712" i="7"/>
  <c r="E711" i="7"/>
  <c r="E710" i="7"/>
  <c r="E709" i="7"/>
  <c r="E708" i="7"/>
  <c r="E707" i="7"/>
  <c r="E706" i="7"/>
  <c r="E705" i="7"/>
  <c r="E704" i="7"/>
  <c r="E703" i="7"/>
  <c r="E702" i="7"/>
  <c r="E701" i="7"/>
  <c r="E700" i="7"/>
  <c r="E699" i="7"/>
  <c r="E698" i="7"/>
  <c r="E697" i="7"/>
  <c r="E696" i="7"/>
  <c r="E695" i="7"/>
  <c r="E694" i="7"/>
  <c r="E693" i="7"/>
  <c r="E692" i="7"/>
  <c r="E691" i="7"/>
  <c r="E690" i="7"/>
  <c r="E689" i="7"/>
  <c r="E688" i="7"/>
  <c r="E687" i="7"/>
  <c r="E686" i="7"/>
  <c r="E685" i="7"/>
  <c r="E684" i="7"/>
  <c r="E683" i="7"/>
  <c r="E682" i="7"/>
  <c r="E681" i="7"/>
  <c r="E680" i="7"/>
  <c r="E679" i="7"/>
  <c r="E678" i="7"/>
  <c r="E677" i="7"/>
  <c r="E676" i="7"/>
  <c r="E675" i="7"/>
  <c r="E674" i="7"/>
  <c r="E673" i="7"/>
  <c r="E672" i="7"/>
  <c r="E671" i="7"/>
  <c r="E670" i="7"/>
  <c r="E669" i="7"/>
  <c r="E668" i="7"/>
  <c r="E667" i="7"/>
  <c r="E665" i="7"/>
  <c r="E664" i="7"/>
  <c r="E663" i="7"/>
  <c r="E662" i="7"/>
  <c r="E661" i="7"/>
  <c r="E660" i="7"/>
  <c r="E659" i="7"/>
  <c r="E658" i="7"/>
  <c r="E657" i="7"/>
  <c r="E656" i="7"/>
  <c r="E655" i="7"/>
  <c r="E654" i="7"/>
  <c r="E653" i="7"/>
  <c r="E652" i="7"/>
  <c r="E651" i="7"/>
  <c r="E650" i="7"/>
  <c r="E649" i="7"/>
  <c r="E648" i="7"/>
  <c r="E647" i="7"/>
  <c r="E646" i="7"/>
  <c r="E645" i="7"/>
  <c r="E644" i="7"/>
  <c r="E643" i="7"/>
  <c r="E642" i="7"/>
  <c r="E641" i="7"/>
  <c r="E640" i="7"/>
  <c r="E639" i="7"/>
  <c r="E638" i="7"/>
  <c r="E637" i="7"/>
  <c r="E636" i="7"/>
  <c r="E635" i="7"/>
  <c r="E634" i="7"/>
  <c r="E633" i="7"/>
  <c r="E632" i="7"/>
  <c r="E631" i="7"/>
  <c r="E630" i="7"/>
  <c r="E629" i="7"/>
  <c r="E628" i="7"/>
  <c r="E627" i="7"/>
  <c r="E626" i="7"/>
  <c r="E625" i="7"/>
  <c r="E624" i="7"/>
  <c r="E623" i="7"/>
  <c r="E622" i="7"/>
  <c r="E621" i="7"/>
  <c r="E620" i="7"/>
  <c r="E619" i="7"/>
  <c r="E618" i="7"/>
  <c r="E617" i="7"/>
  <c r="E616" i="7"/>
  <c r="E615" i="7"/>
  <c r="E614" i="7"/>
  <c r="E613" i="7"/>
  <c r="E612" i="7"/>
  <c r="E611" i="7"/>
  <c r="E610" i="7"/>
  <c r="E609" i="7"/>
  <c r="E608" i="7"/>
  <c r="E607" i="7"/>
  <c r="E606" i="7"/>
  <c r="E605" i="7"/>
  <c r="E604" i="7"/>
  <c r="E603" i="7"/>
  <c r="E602" i="7"/>
  <c r="E601" i="7"/>
  <c r="E600" i="7"/>
  <c r="E599" i="7"/>
  <c r="E598" i="7"/>
  <c r="E597" i="7"/>
  <c r="E596" i="7"/>
  <c r="E595" i="7"/>
  <c r="E594" i="7"/>
  <c r="E593" i="7"/>
  <c r="E592" i="7"/>
  <c r="E591" i="7"/>
  <c r="E590" i="7"/>
  <c r="E589" i="7"/>
  <c r="E588" i="7"/>
  <c r="E587" i="7"/>
  <c r="E586" i="7"/>
  <c r="E585" i="7"/>
  <c r="E584" i="7"/>
  <c r="E583" i="7"/>
  <c r="E582" i="7"/>
  <c r="E581" i="7"/>
  <c r="E580" i="7"/>
  <c r="E579" i="7"/>
  <c r="E578" i="7"/>
  <c r="E577" i="7"/>
  <c r="E576" i="7"/>
  <c r="E575" i="7"/>
  <c r="E574" i="7"/>
  <c r="E573" i="7"/>
  <c r="E572" i="7"/>
  <c r="E571" i="7"/>
  <c r="E570" i="7"/>
  <c r="E569" i="7"/>
  <c r="E568" i="7"/>
  <c r="E567" i="7"/>
  <c r="E566" i="7"/>
  <c r="E565" i="7"/>
  <c r="E564" i="7"/>
  <c r="E563" i="7"/>
  <c r="E562" i="7"/>
  <c r="E561" i="7"/>
  <c r="E560" i="7"/>
  <c r="E559" i="7"/>
  <c r="E558" i="7"/>
  <c r="E557" i="7"/>
  <c r="E556" i="7"/>
  <c r="E555" i="7"/>
  <c r="E554" i="7"/>
  <c r="E553" i="7"/>
  <c r="E552" i="7"/>
  <c r="E551" i="7"/>
  <c r="E550" i="7"/>
  <c r="E549" i="7"/>
  <c r="E548" i="7"/>
  <c r="E547" i="7"/>
  <c r="E546" i="7"/>
  <c r="E545" i="7"/>
  <c r="E544" i="7"/>
  <c r="E543" i="7"/>
  <c r="E542" i="7"/>
  <c r="E541" i="7"/>
  <c r="E540" i="7"/>
  <c r="E539" i="7"/>
  <c r="E538" i="7"/>
  <c r="E537" i="7"/>
  <c r="E536" i="7"/>
  <c r="E535" i="7"/>
  <c r="E534" i="7"/>
  <c r="E533" i="7"/>
  <c r="E532" i="7"/>
  <c r="E531" i="7"/>
  <c r="E530" i="7"/>
  <c r="E529" i="7"/>
  <c r="E528" i="7"/>
  <c r="E527" i="7"/>
  <c r="E526" i="7"/>
  <c r="E525" i="7"/>
  <c r="E524" i="7"/>
  <c r="E523" i="7"/>
  <c r="E522" i="7"/>
  <c r="E521" i="7"/>
  <c r="E520" i="7"/>
  <c r="E519" i="7"/>
  <c r="E518" i="7"/>
  <c r="E517" i="7"/>
  <c r="E516" i="7"/>
  <c r="E515" i="7"/>
  <c r="E514" i="7"/>
  <c r="E513" i="7"/>
  <c r="E512" i="7"/>
  <c r="E511" i="7"/>
  <c r="E510" i="7"/>
  <c r="E509" i="7"/>
  <c r="E508" i="7"/>
  <c r="E507" i="7"/>
  <c r="E506" i="7"/>
  <c r="E505" i="7"/>
  <c r="E504" i="7"/>
  <c r="E503" i="7"/>
  <c r="E502" i="7"/>
  <c r="E501" i="7"/>
  <c r="E500" i="7"/>
  <c r="E499" i="7"/>
  <c r="E498" i="7"/>
  <c r="E497" i="7"/>
  <c r="E496" i="7"/>
  <c r="E495" i="7"/>
  <c r="E494" i="7"/>
  <c r="E493" i="7"/>
  <c r="E492" i="7"/>
  <c r="E491" i="7"/>
  <c r="E490" i="7"/>
  <c r="E489" i="7"/>
  <c r="E488" i="7"/>
  <c r="E487" i="7"/>
  <c r="E486" i="7"/>
  <c r="E485" i="7"/>
  <c r="E484" i="7"/>
  <c r="E483" i="7"/>
  <c r="E482" i="7"/>
  <c r="E481" i="7"/>
  <c r="E480" i="7"/>
  <c r="E479" i="7"/>
  <c r="E478" i="7"/>
  <c r="E477" i="7"/>
  <c r="E476" i="7"/>
  <c r="E475" i="7"/>
  <c r="E474" i="7"/>
  <c r="E473" i="7"/>
  <c r="E472" i="7"/>
  <c r="E471" i="7"/>
  <c r="E470" i="7"/>
  <c r="E469" i="7"/>
  <c r="E468" i="7"/>
  <c r="E467" i="7"/>
  <c r="E466" i="7"/>
  <c r="E465" i="7"/>
  <c r="E464" i="7"/>
  <c r="E463" i="7"/>
  <c r="E462" i="7"/>
  <c r="E461" i="7"/>
  <c r="E460" i="7"/>
  <c r="E459" i="7"/>
  <c r="E458" i="7"/>
  <c r="E457" i="7"/>
  <c r="E456" i="7"/>
  <c r="E455" i="7"/>
  <c r="E454" i="7"/>
  <c r="E453" i="7"/>
  <c r="E452" i="7"/>
  <c r="E451" i="7"/>
  <c r="E450" i="7"/>
  <c r="E449" i="7"/>
  <c r="E448" i="7"/>
  <c r="E447" i="7"/>
  <c r="E446" i="7"/>
  <c r="E445" i="7"/>
  <c r="E444" i="7"/>
  <c r="E443" i="7"/>
  <c r="E442" i="7"/>
  <c r="E441" i="7"/>
  <c r="E440" i="7"/>
  <c r="E439" i="7"/>
  <c r="E438" i="7"/>
  <c r="E437" i="7"/>
  <c r="E436" i="7"/>
  <c r="E435" i="7"/>
  <c r="E434" i="7"/>
  <c r="E433" i="7"/>
  <c r="E432" i="7"/>
  <c r="E431" i="7"/>
  <c r="E430" i="7"/>
  <c r="E429" i="7"/>
  <c r="E428" i="7"/>
  <c r="E427" i="7"/>
  <c r="E426" i="7"/>
  <c r="E425" i="7"/>
  <c r="E424" i="7"/>
  <c r="E423" i="7"/>
  <c r="E422" i="7"/>
  <c r="E421" i="7"/>
  <c r="E420" i="7"/>
  <c r="E419" i="7"/>
  <c r="E418" i="7"/>
  <c r="E417" i="7"/>
  <c r="E416" i="7"/>
  <c r="E415" i="7"/>
  <c r="E414" i="7"/>
  <c r="E413" i="7"/>
  <c r="E412" i="7"/>
  <c r="E411" i="7"/>
  <c r="E410" i="7"/>
  <c r="E409" i="7"/>
  <c r="E408" i="7"/>
  <c r="E407" i="7"/>
  <c r="E406" i="7"/>
  <c r="E405" i="7"/>
  <c r="E404" i="7"/>
  <c r="E403" i="7"/>
  <c r="E402" i="7"/>
  <c r="E401" i="7"/>
  <c r="E400" i="7"/>
  <c r="E399" i="7"/>
  <c r="E398" i="7"/>
  <c r="E397" i="7"/>
  <c r="E396" i="7"/>
  <c r="E395" i="7"/>
  <c r="E394" i="7"/>
  <c r="E393" i="7"/>
  <c r="E392" i="7"/>
  <c r="E391" i="7"/>
  <c r="E390" i="7"/>
  <c r="E389" i="7"/>
  <c r="E388" i="7"/>
  <c r="E387" i="7"/>
  <c r="E386" i="7"/>
  <c r="E385" i="7"/>
  <c r="E384" i="7"/>
  <c r="E383" i="7"/>
  <c r="E382" i="7"/>
  <c r="E381" i="7"/>
  <c r="E380" i="7"/>
  <c r="E379" i="7"/>
  <c r="E378" i="7"/>
  <c r="E377" i="7"/>
  <c r="E376" i="7"/>
  <c r="E375" i="7"/>
  <c r="E374" i="7"/>
  <c r="E373" i="7"/>
  <c r="E372" i="7"/>
  <c r="E371" i="7"/>
  <c r="E370" i="7"/>
  <c r="E369" i="7"/>
  <c r="E368" i="7"/>
  <c r="E367" i="7"/>
  <c r="E366" i="7"/>
  <c r="E365" i="7"/>
  <c r="E364" i="7"/>
  <c r="E363" i="7"/>
  <c r="E362" i="7"/>
  <c r="E361" i="7"/>
  <c r="E360" i="7"/>
  <c r="E359" i="7"/>
  <c r="E358" i="7"/>
  <c r="E357" i="7"/>
  <c r="E356" i="7"/>
  <c r="E355" i="7"/>
  <c r="E354" i="7"/>
  <c r="E353" i="7"/>
  <c r="E352" i="7"/>
  <c r="E351" i="7"/>
  <c r="E350" i="7"/>
  <c r="E349" i="7"/>
  <c r="E348" i="7"/>
  <c r="E347" i="7"/>
  <c r="E346" i="7"/>
  <c r="E345" i="7"/>
  <c r="E344" i="7"/>
  <c r="E343" i="7"/>
  <c r="E342" i="7"/>
  <c r="E341" i="7"/>
  <c r="E340" i="7"/>
  <c r="E339" i="7"/>
  <c r="E338" i="7"/>
  <c r="E337" i="7"/>
  <c r="E336" i="7"/>
  <c r="E335" i="7"/>
  <c r="E334" i="7"/>
  <c r="E333" i="7"/>
  <c r="E332" i="7"/>
  <c r="E331" i="7"/>
  <c r="E330" i="7"/>
  <c r="E329" i="7"/>
  <c r="E328" i="7"/>
  <c r="E327" i="7"/>
  <c r="E326" i="7"/>
  <c r="E325" i="7"/>
  <c r="E324" i="7"/>
  <c r="E323" i="7"/>
  <c r="E322" i="7"/>
  <c r="E321" i="7"/>
  <c r="E320" i="7"/>
  <c r="E319" i="7"/>
  <c r="E318" i="7"/>
  <c r="E317" i="7"/>
  <c r="E316" i="7"/>
  <c r="E315" i="7"/>
  <c r="E314" i="7"/>
  <c r="E313" i="7"/>
  <c r="E312" i="7"/>
  <c r="E311" i="7"/>
  <c r="E310" i="7"/>
  <c r="E309" i="7"/>
  <c r="E308" i="7"/>
  <c r="E307" i="7"/>
  <c r="E306" i="7"/>
  <c r="E305" i="7"/>
  <c r="E304" i="7"/>
  <c r="E303" i="7"/>
  <c r="E302" i="7"/>
  <c r="E301" i="7"/>
  <c r="E300" i="7"/>
  <c r="E299" i="7"/>
  <c r="E298" i="7"/>
  <c r="E297" i="7"/>
  <c r="E296" i="7"/>
  <c r="E295" i="7"/>
  <c r="E294" i="7"/>
  <c r="E293" i="7"/>
  <c r="E292" i="7"/>
  <c r="E291" i="7"/>
  <c r="E290" i="7"/>
  <c r="E289" i="7"/>
  <c r="E288" i="7"/>
  <c r="E287" i="7"/>
  <c r="E286" i="7"/>
  <c r="E285" i="7"/>
  <c r="E284" i="7"/>
  <c r="E283" i="7"/>
  <c r="E282" i="7"/>
  <c r="E281" i="7"/>
  <c r="E280" i="7"/>
  <c r="E279" i="7"/>
  <c r="E278" i="7"/>
  <c r="E277" i="7"/>
  <c r="E276" i="7"/>
  <c r="E275" i="7"/>
  <c r="E274" i="7"/>
  <c r="E273" i="7"/>
  <c r="E272" i="7"/>
  <c r="E271" i="7"/>
  <c r="E270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6" i="7"/>
  <c r="E255" i="7"/>
  <c r="E254" i="7"/>
  <c r="E253" i="7"/>
  <c r="E252" i="7"/>
  <c r="E251" i="7"/>
  <c r="E250" i="7"/>
  <c r="E249" i="7"/>
  <c r="E248" i="7"/>
  <c r="E247" i="7"/>
  <c r="E246" i="7"/>
  <c r="E245" i="7"/>
  <c r="E244" i="7"/>
  <c r="E243" i="7"/>
  <c r="E242" i="7"/>
  <c r="E241" i="7"/>
  <c r="E240" i="7"/>
  <c r="E239" i="7"/>
  <c r="E238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J10" i="77" l="1"/>
  <c r="J26" i="77"/>
  <c r="J21" i="77"/>
  <c r="J11" i="77"/>
  <c r="J16" i="77"/>
  <c r="J12" i="77"/>
  <c r="J15" i="77"/>
  <c r="J22" i="77"/>
  <c r="Q3" i="8"/>
  <c r="R3" i="8" s="1"/>
  <c r="B3" i="8" s="1"/>
  <c r="Q5" i="8"/>
  <c r="R5" i="8" s="1"/>
  <c r="B5" i="8" s="1"/>
  <c r="Q4" i="8"/>
  <c r="R4" i="8" s="1"/>
  <c r="B4" i="8" s="1"/>
  <c r="J5" i="77"/>
  <c r="J14" i="77" l="1"/>
  <c r="J9" i="77"/>
  <c r="I11" i="85"/>
  <c r="I30" i="85" s="1"/>
  <c r="I24" i="77"/>
  <c r="I23" i="77"/>
  <c r="I19" i="77"/>
  <c r="I22" i="77"/>
  <c r="I21" i="77"/>
  <c r="I18" i="77"/>
  <c r="I17" i="77"/>
  <c r="I16" i="77"/>
  <c r="I15" i="77"/>
  <c r="I12" i="77"/>
  <c r="I11" i="77"/>
  <c r="H10" i="85"/>
  <c r="S3" i="8"/>
  <c r="S5" i="8"/>
  <c r="S4" i="8"/>
  <c r="G9" i="77"/>
  <c r="G14" i="77"/>
  <c r="H14" i="77"/>
  <c r="H9" i="77"/>
  <c r="E25" i="77"/>
  <c r="E27" i="77" s="1"/>
  <c r="M31" i="77" s="1"/>
  <c r="G26" i="77" l="1"/>
  <c r="H35" i="77" s="1"/>
  <c r="H25" i="77"/>
  <c r="H27" i="77" s="1"/>
  <c r="M34" i="77" s="1"/>
  <c r="F10" i="77"/>
  <c r="I10" i="77" s="1"/>
  <c r="E12" i="85"/>
  <c r="E11" i="85" s="1"/>
  <c r="H11" i="85" s="1"/>
  <c r="J25" i="77"/>
  <c r="J27" i="77" s="1"/>
  <c r="E6" i="85"/>
  <c r="H8" i="85"/>
  <c r="H28" i="85"/>
  <c r="I13" i="77"/>
  <c r="F14" i="77"/>
  <c r="I14" i="77" s="1"/>
  <c r="G25" i="77"/>
  <c r="M33" i="77" l="1"/>
  <c r="G27" i="77"/>
  <c r="H7" i="85"/>
  <c r="E30" i="85"/>
  <c r="F9" i="77"/>
  <c r="F26" i="77" s="1"/>
  <c r="F25" i="77" l="1"/>
  <c r="M32" i="77" s="1"/>
  <c r="H36" i="77"/>
  <c r="H6" i="85"/>
  <c r="H30" i="85" s="1"/>
  <c r="I9" i="77"/>
  <c r="M10" i="85"/>
  <c r="M11" i="85" s="1"/>
  <c r="I25" i="77" l="1"/>
  <c r="D36" i="77"/>
  <c r="D37" i="77" s="1"/>
  <c r="F27" i="77"/>
  <c r="I27" i="77" s="1"/>
  <c r="F6" i="77" s="1"/>
  <c r="H37" i="77"/>
  <c r="I26" i="77"/>
  <c r="M13" i="85"/>
  <c r="B39" i="77" l="1"/>
  <c r="F39" i="77"/>
</calcChain>
</file>

<file path=xl/sharedStrings.xml><?xml version="1.0" encoding="utf-8"?>
<sst xmlns="http://schemas.openxmlformats.org/spreadsheetml/2006/main" count="5124" uniqueCount="1894">
  <si>
    <t>Employee Name</t>
  </si>
  <si>
    <t>Empl ID</t>
  </si>
  <si>
    <t>Journal Id</t>
  </si>
  <si>
    <t>Run Id</t>
  </si>
  <si>
    <t>Pay End Dt</t>
  </si>
  <si>
    <t>Department ID</t>
  </si>
  <si>
    <t>Department Desc</t>
  </si>
  <si>
    <t>Fund</t>
  </si>
  <si>
    <t>Project</t>
  </si>
  <si>
    <t>Account</t>
  </si>
  <si>
    <t>Account Short Desc</t>
  </si>
  <si>
    <t>Rcd</t>
  </si>
  <si>
    <t>Jobcode</t>
  </si>
  <si>
    <t>Amount</t>
  </si>
  <si>
    <t>Redist Pay Dt</t>
  </si>
  <si>
    <t>Link</t>
  </si>
  <si>
    <t>Reviewer's Comments</t>
  </si>
  <si>
    <t>Fiscal Year</t>
  </si>
  <si>
    <t>Department Id</t>
  </si>
  <si>
    <t>Fund Id</t>
  </si>
  <si>
    <t>Fund Desc</t>
  </si>
  <si>
    <t>Project Id</t>
  </si>
  <si>
    <t>Project Desc</t>
  </si>
  <si>
    <t>Chartfield1 &amp; Desc</t>
  </si>
  <si>
    <t>Chartfield2 &amp; Desc</t>
  </si>
  <si>
    <t>Chartfield3 &amp; Desc</t>
  </si>
  <si>
    <t>Account Desc</t>
  </si>
  <si>
    <t>Journal Date</t>
  </si>
  <si>
    <t>Journal Line</t>
  </si>
  <si>
    <t>Vendor / Employee</t>
  </si>
  <si>
    <t>Vch /Ex /PayId</t>
  </si>
  <si>
    <t>Line Num</t>
  </si>
  <si>
    <t>Distrib Line</t>
  </si>
  <si>
    <t>Po /TAuth / Depos_Id</t>
  </si>
  <si>
    <t>Comment</t>
  </si>
  <si>
    <t>Admin &amp; Professional Salaries</t>
  </si>
  <si>
    <t>USPS Salaries</t>
  </si>
  <si>
    <t>Salary Social Security Match</t>
  </si>
  <si>
    <t>Salary Medicare Match</t>
  </si>
  <si>
    <t>Defined Benefit Retire Match</t>
  </si>
  <si>
    <t>ORP Defined Contrib Match</t>
  </si>
  <si>
    <t>PEORP Defined Contrib Match</t>
  </si>
  <si>
    <t>Health Ins Employer Contrib</t>
  </si>
  <si>
    <t>State Life Insurance Contrib</t>
  </si>
  <si>
    <t>Pd</t>
  </si>
  <si>
    <t>Fund Code</t>
  </si>
  <si>
    <t>Fund Description</t>
  </si>
  <si>
    <t>Chartfield1 Id</t>
  </si>
  <si>
    <t>Chartfield2 Id</t>
  </si>
  <si>
    <t>Chartfield3 Id</t>
  </si>
  <si>
    <t>Source Doc Id</t>
  </si>
  <si>
    <t>Source Line</t>
  </si>
  <si>
    <t>Vendor /Employee</t>
  </si>
  <si>
    <t>Tran Date</t>
  </si>
  <si>
    <t>Inv /Ref Id / Grp Id</t>
  </si>
  <si>
    <t>Journal Line Reference</t>
  </si>
  <si>
    <t>A&amp;P Separation Payout</t>
  </si>
  <si>
    <t>USPS Bonus Pay</t>
  </si>
  <si>
    <t>A&amp;P Bonus Pay</t>
  </si>
  <si>
    <t>Pretax Admin Assessment</t>
  </si>
  <si>
    <t>12 Month Faculty</t>
  </si>
  <si>
    <t>Fac Annual Leave Sep Payout</t>
  </si>
  <si>
    <t>Fac Sick Leave Sep Payout</t>
  </si>
  <si>
    <t>9 Month Faculty</t>
  </si>
  <si>
    <t>Summer Faculty</t>
  </si>
  <si>
    <t>10 Month Faculty - DRS</t>
  </si>
  <si>
    <t>Faculty Bonus Pay</t>
  </si>
  <si>
    <t>A&amp;P Sick Leave Sep Payout</t>
  </si>
  <si>
    <t>USPS Separation Payout</t>
  </si>
  <si>
    <t>USPS Sick Leave Sep Payout</t>
  </si>
  <si>
    <t>A&amp;P Holiday Comp Payout</t>
  </si>
  <si>
    <t>USPS Comp Payout</t>
  </si>
  <si>
    <t>USPS Overtime</t>
  </si>
  <si>
    <t>C&amp;G Terminal Leave Assessment</t>
  </si>
  <si>
    <t>Salaries &amp; Wages - Other</t>
  </si>
  <si>
    <t>Non-Recurring Salary Bonus</t>
  </si>
  <si>
    <t>Salary Expense Offset</t>
  </si>
  <si>
    <t>Teachers Retirement Matching</t>
  </si>
  <si>
    <t>State Disability Ins Contrib</t>
  </si>
  <si>
    <t>Salary Payroll Suspense</t>
  </si>
  <si>
    <t>Budget OPS</t>
  </si>
  <si>
    <t>Graduate Assistants</t>
  </si>
  <si>
    <t>Post Doctoral Associates</t>
  </si>
  <si>
    <t>Adjunct Faculty</t>
  </si>
  <si>
    <t>OPS Faculty</t>
  </si>
  <si>
    <t>Temporary Employment</t>
  </si>
  <si>
    <t>OPS Overtime</t>
  </si>
  <si>
    <t>Student Employment</t>
  </si>
  <si>
    <t>Ath Ticket Staff OPS Salary</t>
  </si>
  <si>
    <t>Ath Event Staff OPS Salary</t>
  </si>
  <si>
    <t>Ath Coach Staff OPS Salary</t>
  </si>
  <si>
    <t>OPS Social Security Match</t>
  </si>
  <si>
    <t>OPS Medicare</t>
  </si>
  <si>
    <t>OPS Disability</t>
  </si>
  <si>
    <t>OPS Payroll Suspense</t>
  </si>
  <si>
    <t>Special Category</t>
  </si>
  <si>
    <t>Budget Regional Data Ctr</t>
  </si>
  <si>
    <t>Regional Data Center Charges</t>
  </si>
  <si>
    <t>Budget Salary Incentive (CJIP)</t>
  </si>
  <si>
    <t>Crim Justice Incentive Pay</t>
  </si>
  <si>
    <t>CJIP Soc Sec Matching</t>
  </si>
  <si>
    <t>CJIP Medicare</t>
  </si>
  <si>
    <t>CJIP Retirement Match</t>
  </si>
  <si>
    <t>CJIP Payroll Suspense</t>
  </si>
  <si>
    <t>Budget Risk Mgmt Insurance</t>
  </si>
  <si>
    <t>Insurance Automobile E&amp;G</t>
  </si>
  <si>
    <t>Insurance Liab General E&amp;G</t>
  </si>
  <si>
    <t>Managed Care E&amp;G Special Pay</t>
  </si>
  <si>
    <t>Insurance Workers Comp E&amp;G</t>
  </si>
  <si>
    <t>Insurance Liab Civ Rts E&amp;G</t>
  </si>
  <si>
    <t>Budget Research Comm Asst Grnt</t>
  </si>
  <si>
    <t>Budget Library Resources</t>
  </si>
  <si>
    <t>Interest Penalty Library Res</t>
  </si>
  <si>
    <t>Interest Penalty Library Book</t>
  </si>
  <si>
    <t>Budget Stdnt Financial Aid</t>
  </si>
  <si>
    <t>Stdnt Aid State Appropriations</t>
  </si>
  <si>
    <t>Budget Differen Need Based Aid</t>
  </si>
  <si>
    <t>Stdnt Aid Differntl Need Based</t>
  </si>
  <si>
    <t>Budget Fee Waivers</t>
  </si>
  <si>
    <t>Ed Enhance Out of St Waiver</t>
  </si>
  <si>
    <t>Stdnt Aid Wvr State Approp</t>
  </si>
  <si>
    <t>Budget Inst of Government</t>
  </si>
  <si>
    <t>Stdnt Aid STARS Awards</t>
  </si>
  <si>
    <t>Budget Virgil Hawkins Scholars</t>
  </si>
  <si>
    <t>Stdnt Aid Fellowship V Hawkins</t>
  </si>
  <si>
    <t>Account Code</t>
  </si>
  <si>
    <t>Account Description</t>
  </si>
  <si>
    <t>Value</t>
  </si>
  <si>
    <t>+/-  (HR GL Detail)</t>
  </si>
  <si>
    <t>Budget All Accounts</t>
  </si>
  <si>
    <t>Budget Non-Budget Accounts</t>
  </si>
  <si>
    <t>Current Assets</t>
  </si>
  <si>
    <t>Current Assets Cash</t>
  </si>
  <si>
    <t>Cash on Hand</t>
  </si>
  <si>
    <t>Cash in Bank</t>
  </si>
  <si>
    <t>Cash Control - Cashiering</t>
  </si>
  <si>
    <t>Cash in Bank Revolving</t>
  </si>
  <si>
    <t>Cash in Bank PC Campus</t>
  </si>
  <si>
    <t>Cash in Bank Athletic LockBx</t>
  </si>
  <si>
    <t>Cash in Bank School Lender</t>
  </si>
  <si>
    <t>Cash - Change Fund</t>
  </si>
  <si>
    <t>Cash in Bank - Epayables</t>
  </si>
  <si>
    <t>Cash w State Board of Adm</t>
  </si>
  <si>
    <t>Current Assets Other</t>
  </si>
  <si>
    <t>Cash in State Treasury</t>
  </si>
  <si>
    <t>Current Assets Investments</t>
  </si>
  <si>
    <t>Investment w St Board of Adm</t>
  </si>
  <si>
    <t>Investment SPIA in St Treasury</t>
  </si>
  <si>
    <t>Investment Adj to Fair Market</t>
  </si>
  <si>
    <t>Investments Other</t>
  </si>
  <si>
    <t>AR - Univ Classifications</t>
  </si>
  <si>
    <t>AR - Unbilled Other</t>
  </si>
  <si>
    <t>Accts Receivable Empl Advances</t>
  </si>
  <si>
    <t>AR Payroll Employe Overpayment</t>
  </si>
  <si>
    <t>AR Payroll Vendor Overpayment</t>
  </si>
  <si>
    <t>AR - Fees</t>
  </si>
  <si>
    <t>AR - S&amp;S of Ed Depts</t>
  </si>
  <si>
    <t>AR - S&amp;S of Aux Ent</t>
  </si>
  <si>
    <t>Int &amp; Div Rec- Univ Class</t>
  </si>
  <si>
    <t>Int on Invest - Dividends</t>
  </si>
  <si>
    <t>AR Loans &amp; Notes</t>
  </si>
  <si>
    <t>AR Contracts &amp; Grants</t>
  </si>
  <si>
    <t>AR Unbilled C&amp;G</t>
  </si>
  <si>
    <t>Allow Uncoll Other</t>
  </si>
  <si>
    <t>Allow Uncoll Fees</t>
  </si>
  <si>
    <t>Allow Uncoll Sale/Svc Ed Dept</t>
  </si>
  <si>
    <t>Allow Uncoll Sale/Svc Aux Ent.</t>
  </si>
  <si>
    <t>Allow Uncoll Interest on Loan</t>
  </si>
  <si>
    <t>Allow Uncoll Loan/Note Rec</t>
  </si>
  <si>
    <t>Due Fr St Fund- Within Div.</t>
  </si>
  <si>
    <t>Due Fr PC Cashier's</t>
  </si>
  <si>
    <t>Due Fr Aux - Investments</t>
  </si>
  <si>
    <t>Due Fr St Funds- Within Dept</t>
  </si>
  <si>
    <t>Due Fr Primary Gov</t>
  </si>
  <si>
    <t>Due From Component Unit</t>
  </si>
  <si>
    <t>Due From Revolving Fund</t>
  </si>
  <si>
    <t>Permanent Adv - Revolving Fund</t>
  </si>
  <si>
    <t>Temporary Adv - Revolving Fund</t>
  </si>
  <si>
    <t>Employee Advance - Permanent</t>
  </si>
  <si>
    <t>Employee Advance - Temporary</t>
  </si>
  <si>
    <t>Due From Clearing Fund</t>
  </si>
  <si>
    <t>Supply Inventory</t>
  </si>
  <si>
    <t>Goods Purchased for Resale</t>
  </si>
  <si>
    <t>Prepaid Items</t>
  </si>
  <si>
    <t>Deposits</t>
  </si>
  <si>
    <t>Other Current Assets</t>
  </si>
  <si>
    <t>Non-Current Assets</t>
  </si>
  <si>
    <t>Non-Current Assets Cash</t>
  </si>
  <si>
    <t>Restricted Cash on Hand</t>
  </si>
  <si>
    <t>Restricted Cash in Bank</t>
  </si>
  <si>
    <t>Restricted Cash with SBA</t>
  </si>
  <si>
    <t>Non-Current Assets Other</t>
  </si>
  <si>
    <t>Non-Current Assets Investments</t>
  </si>
  <si>
    <t>Restricted Invst with SBA</t>
  </si>
  <si>
    <t>Restricted Invst Other</t>
  </si>
  <si>
    <t>Restricted SPInvestment St Tr</t>
  </si>
  <si>
    <t>Restricted Invst ComponentUnit</t>
  </si>
  <si>
    <t>DSO Restricted Inv Adj to FMV</t>
  </si>
  <si>
    <t>Restricted Invst DebtwColl Sec</t>
  </si>
  <si>
    <t>Adv to Oth Funds Between Depts</t>
  </si>
  <si>
    <t>Deferred Fiscal Charges</t>
  </si>
  <si>
    <t>AR Non-Current Loans &amp; Notes</t>
  </si>
  <si>
    <t>Loan Fund Checks Cancelled</t>
  </si>
  <si>
    <t>Student Loans-3%</t>
  </si>
  <si>
    <t>FDSL-Fall</t>
  </si>
  <si>
    <t>FDSL-Winter</t>
  </si>
  <si>
    <t>FDSL-Spring</t>
  </si>
  <si>
    <t>FDSL-Summer</t>
  </si>
  <si>
    <t>Student Loans-4%</t>
  </si>
  <si>
    <t>Notes Receivable - A/R</t>
  </si>
  <si>
    <t>Loan Principal-Wachovia</t>
  </si>
  <si>
    <t>Long-Term Loans</t>
  </si>
  <si>
    <t>Notes Rec Balance Forward</t>
  </si>
  <si>
    <t>Loan Principal Collected/Adv</t>
  </si>
  <si>
    <t>OverReward Payments</t>
  </si>
  <si>
    <t>Debtor Paid Loan Principal</t>
  </si>
  <si>
    <t>Perkins Pd Loan Principal</t>
  </si>
  <si>
    <t>Perkins Assigned &amp; Accepted</t>
  </si>
  <si>
    <t>CAB Returned Checks</t>
  </si>
  <si>
    <t>Perkins Cancel Teaching 10%</t>
  </si>
  <si>
    <t>Perkins Cancel Teaching 15%</t>
  </si>
  <si>
    <t>Perkins Cnc Tch-20% Af 6/72</t>
  </si>
  <si>
    <t>Perkins Cnc Tch-30% Af 6/72</t>
  </si>
  <si>
    <t>Perkins Cnc Tch-15% Af 6/72</t>
  </si>
  <si>
    <t>Perkins CncMil 12.5% Af 6/72</t>
  </si>
  <si>
    <t>Perkins CncMil12.5% Pr 7/72</t>
  </si>
  <si>
    <t>Perkins Cnc Tch Svc SHTG 15%</t>
  </si>
  <si>
    <t>Perkins Cnv Tch Svc SHTG 20%</t>
  </si>
  <si>
    <t>Fed Loan-Pr Cancelled-Death</t>
  </si>
  <si>
    <t>Fed Loan-Pr Canc-Disability</t>
  </si>
  <si>
    <t>Perkin Canc-Law Enforcemnt 15%</t>
  </si>
  <si>
    <t>Perkin Canc-Law Enforcemnt 20%</t>
  </si>
  <si>
    <t>Perkin Canc-Law Enforcemnt 30%</t>
  </si>
  <si>
    <t>Perkin Cnc PeaceCorp/Vista 15%</t>
  </si>
  <si>
    <t>Perkin Cnc-PeaceCorp/Vista 20%</t>
  </si>
  <si>
    <t>Perkins Cnc Tch Svc SHTG 30%</t>
  </si>
  <si>
    <t>Perkins Cnc Hlth N/Md Tec 15%</t>
  </si>
  <si>
    <t>Fed Loan Pr Cnc Bankruptcy</t>
  </si>
  <si>
    <t>Perkins Cnc Hlth N/Md Tec 20%</t>
  </si>
  <si>
    <t>Perkins Cnc Hlth N/Md Tec 30%</t>
  </si>
  <si>
    <t>Perkins Cnc SvcHghRsk Chld 15%</t>
  </si>
  <si>
    <t>Perkins Cnc SvcHghRsk Chld 20%</t>
  </si>
  <si>
    <t>Perkins Cnc SvcHghRsk Chld 30%</t>
  </si>
  <si>
    <t>NSLP Ln Pr Cnc15% Pr 11/18/71</t>
  </si>
  <si>
    <t>NSLP Ln Pr Cnc10% Pr 11/18/71</t>
  </si>
  <si>
    <t>NSLP Ln Pr Cnc15% Af 11/18/71</t>
  </si>
  <si>
    <t>NSLP Ln Pr Cnc20% Af 11/18/71</t>
  </si>
  <si>
    <t>NSLP Ln Pr Cnc 30% Af 11/18/71</t>
  </si>
  <si>
    <t>Perkins Canc Headstart - 15%</t>
  </si>
  <si>
    <t>Loans Receivable</t>
  </si>
  <si>
    <t>Stdnt Loan Rcv School asLender</t>
  </si>
  <si>
    <t>PerkCncPre-KchldPrgStfSrv</t>
  </si>
  <si>
    <t>PerkCncSrvAttPubDfOrg</t>
  </si>
  <si>
    <t>PerkCncFireFighterServ</t>
  </si>
  <si>
    <t>PerkCncTribalCollUnvFacSrv</t>
  </si>
  <si>
    <t>PerkCncLibSrv</t>
  </si>
  <si>
    <t>PerkCnc  Spc-Lang Path Srv</t>
  </si>
  <si>
    <t>PerkCncVADisbDeter</t>
  </si>
  <si>
    <t>Net Invest Direct Financ Lease</t>
  </si>
  <si>
    <t>Long Term Advance to Comp Unit</t>
  </si>
  <si>
    <t>Allow for Uncollectibles</t>
  </si>
  <si>
    <t>Receivable Approved WriteOff</t>
  </si>
  <si>
    <t>Art/Historic Treas Depreciable</t>
  </si>
  <si>
    <t>Acc Dep - Works of Art &amp;</t>
  </si>
  <si>
    <t>Art/Historic Treas Non-Deprec</t>
  </si>
  <si>
    <t>Cap Lease Prop &amp; Improvements</t>
  </si>
  <si>
    <t>AccDep-Cap Lease Prop&amp;Improve</t>
  </si>
  <si>
    <t>Land</t>
  </si>
  <si>
    <t>Buildings</t>
  </si>
  <si>
    <t>Acc Depreciation - Bldgs</t>
  </si>
  <si>
    <t>Infrastructure/Oth Improvement</t>
  </si>
  <si>
    <t>Acc Dep-Infrastruct/Oth Impr</t>
  </si>
  <si>
    <t>Furniture and Equipment</t>
  </si>
  <si>
    <t>Acc Dep - Furn &amp; Equip</t>
  </si>
  <si>
    <t>Construct Work in Progress</t>
  </si>
  <si>
    <t>Library Resources</t>
  </si>
  <si>
    <t>Acc Dep - Lib Resources</t>
  </si>
  <si>
    <t>Prop Under Capital Lease</t>
  </si>
  <si>
    <t>Acc Amort-Prop Under Cap Lease</t>
  </si>
  <si>
    <t>Other Fixed Assets</t>
  </si>
  <si>
    <t>Acc Dep - Other Fixed Assets</t>
  </si>
  <si>
    <t>Current Liabilities</t>
  </si>
  <si>
    <t>Accounts Payable</t>
  </si>
  <si>
    <t>AP - Sales Tax</t>
  </si>
  <si>
    <t>AP -Communications Svcs Tax</t>
  </si>
  <si>
    <t>AP - Alcohol Surcharge Tax</t>
  </si>
  <si>
    <t>AP - Local Option Tourist Tax</t>
  </si>
  <si>
    <t>AP - Federal Excise Tax</t>
  </si>
  <si>
    <t>AP-PR Graduate Benefits</t>
  </si>
  <si>
    <t>AP - Gnrl Payroll Deductions</t>
  </si>
  <si>
    <t>AP - Payroll Fed W/H Tax</t>
  </si>
  <si>
    <t>AP - Payroll FICA OASDI</t>
  </si>
  <si>
    <t>AP - PR St Empl Grp Hlth Ins</t>
  </si>
  <si>
    <t>AP - PR St Empl Grp Life Ins</t>
  </si>
  <si>
    <t>AP - PR St Empl Grp Disability</t>
  </si>
  <si>
    <t>AP - Payroll PreTax Benefits</t>
  </si>
  <si>
    <t>AP - Payroll St Retire Not ORP</t>
  </si>
  <si>
    <t>AP - Payroll ORP</t>
  </si>
  <si>
    <t>AP - Payroll Savings Bonds</t>
  </si>
  <si>
    <t>AP - PR Involuntary Deducts</t>
  </si>
  <si>
    <t>Payroll Refunds</t>
  </si>
  <si>
    <t>AP Refunds</t>
  </si>
  <si>
    <t>Employee Advance Refunds</t>
  </si>
  <si>
    <t>AP - Inven Rec'd Not Invoiced</t>
  </si>
  <si>
    <t>Constr Contracts Payable</t>
  </si>
  <si>
    <t>Constr Retainage Payable</t>
  </si>
  <si>
    <t>Accrued Salaries &amp; Wages</t>
  </si>
  <si>
    <t>Accrued Insurance Claims</t>
  </si>
  <si>
    <t>Accrued Interest Payable</t>
  </si>
  <si>
    <t>Deposits Payable - Other</t>
  </si>
  <si>
    <t>Deposits Payable - Aux. Ent.</t>
  </si>
  <si>
    <t>Due To St Fund- Within Div.</t>
  </si>
  <si>
    <t>Due to St Funds Within Dept</t>
  </si>
  <si>
    <t>Due to Other Departments</t>
  </si>
  <si>
    <t>Due to Other Govt Units</t>
  </si>
  <si>
    <t>Due to Component Unit</t>
  </si>
  <si>
    <t>Due To Revolving Fund</t>
  </si>
  <si>
    <t>Due To Clearing Fund</t>
  </si>
  <si>
    <t>Current Bond-Rev Cert Payable</t>
  </si>
  <si>
    <t>Current Cap Imprv Debt Payable</t>
  </si>
  <si>
    <t>Curr Unam Prem on CI Debt Pay</t>
  </si>
  <si>
    <t>Curr Unam Disc on CI Debt Pay</t>
  </si>
  <si>
    <t>Curr Amt Def on Refund CI Debt</t>
  </si>
  <si>
    <t>Installment Purch Contracts</t>
  </si>
  <si>
    <t>Current Comp Absences</t>
  </si>
  <si>
    <t>Capital Leases - Current</t>
  </si>
  <si>
    <t>Def Rev - Oth Univ Classif</t>
  </si>
  <si>
    <t>Deferred Revenues - Fees</t>
  </si>
  <si>
    <t>Deferred Rev - Auxiliaries</t>
  </si>
  <si>
    <t>Deferred Revenue Construction</t>
  </si>
  <si>
    <t>Deferred Revenue C&amp;G Billing</t>
  </si>
  <si>
    <t>Oth Curr Liab - Oth Univ Class</t>
  </si>
  <si>
    <t>Interdept Billings Payable</t>
  </si>
  <si>
    <t>Loans &amp; Notes Payable</t>
  </si>
  <si>
    <t>Loans Payable Sallie Mae Crnt</t>
  </si>
  <si>
    <t>Non-Current Liabilities</t>
  </si>
  <si>
    <t>LT Adv fr Oth Funds Betwn Dpt</t>
  </si>
  <si>
    <t>LT Bond Rev Cert Payable</t>
  </si>
  <si>
    <t>LT Bonds Pay - CY Proceeds</t>
  </si>
  <si>
    <t>Noncurrent Cap Imprv Debt Liab</t>
  </si>
  <si>
    <t>LT Unamort Premium Bonds Pay</t>
  </si>
  <si>
    <t>NC Unam Prem on Cap Imprv Debt</t>
  </si>
  <si>
    <t>LT Unamort Discount Bonds Pay</t>
  </si>
  <si>
    <t>NC Unam Disc on Cap Imprv Debt</t>
  </si>
  <si>
    <t>Amount Deferred on Refunding</t>
  </si>
  <si>
    <t>NC Amt Def on Refund CI Debt</t>
  </si>
  <si>
    <t>LT Accrued Interest Payable</t>
  </si>
  <si>
    <t>LT Installment Purch Cntrct</t>
  </si>
  <si>
    <t>LT Comp Absences Liability</t>
  </si>
  <si>
    <t>LT Capital Leases Liability</t>
  </si>
  <si>
    <t>LT Capital Lease CY Proceeds</t>
  </si>
  <si>
    <t>OPEB Liability - Noncurrent</t>
  </si>
  <si>
    <t>DSO Deferred Rev - Noncurrent</t>
  </si>
  <si>
    <t>LT Insurance Liability</t>
  </si>
  <si>
    <t>LT Liability - Other</t>
  </si>
  <si>
    <t>LT Loans &amp; Notes Payable</t>
  </si>
  <si>
    <t>Loans Payable Sallie Mae</t>
  </si>
  <si>
    <t>Equity</t>
  </si>
  <si>
    <t>Prior Period Adj to Net Assets</t>
  </si>
  <si>
    <t>Unrestricted Net Assets</t>
  </si>
  <si>
    <t>Expendable Endowment</t>
  </si>
  <si>
    <t>Inv in Cap Assets Net of Dbt</t>
  </si>
  <si>
    <t>Exp Rstrct NetAsst - Loans</t>
  </si>
  <si>
    <t>Exp Rstrct NetAsst - Cap Proj</t>
  </si>
  <si>
    <t>Exp Rstrct NetAsst - Other</t>
  </si>
  <si>
    <t>NonExp Rstrct NetAsst Endow</t>
  </si>
  <si>
    <t>Exp Rstrct NetAsst - Debt</t>
  </si>
  <si>
    <t>Budget All Revenue</t>
  </si>
  <si>
    <t>Budget Revenue Non-Property</t>
  </si>
  <si>
    <t>Property Transfers In</t>
  </si>
  <si>
    <t>GR Release Transfer In</t>
  </si>
  <si>
    <t>GR Release Reversions</t>
  </si>
  <si>
    <t>Incidental Release Transfer In</t>
  </si>
  <si>
    <t>Incidental Release Reversion</t>
  </si>
  <si>
    <t>Appropriated Construction Rev</t>
  </si>
  <si>
    <t>Revert Capital Appropriation</t>
  </si>
  <si>
    <t>Investment Earnings-Interest</t>
  </si>
  <si>
    <t>Interest NOW Accounts</t>
  </si>
  <si>
    <t>Federal Interest Income</t>
  </si>
  <si>
    <t>Interest Revenue Sallie Mae</t>
  </si>
  <si>
    <t>Excess-Short Invest Income</t>
  </si>
  <si>
    <t>Interest Revenue Student Loans</t>
  </si>
  <si>
    <t>Delinq Fee Short Term Loan</t>
  </si>
  <si>
    <t>Interest Cancelled-PR 72</t>
  </si>
  <si>
    <t>Interest Cancelled-MIL PR 72</t>
  </si>
  <si>
    <t>Interest Cancelled-AF 72</t>
  </si>
  <si>
    <t>Interest Cancelled-MIL AF 72</t>
  </si>
  <si>
    <t>Interest Cancelled-Disability</t>
  </si>
  <si>
    <t>Interest Cancelled-Bankrupt</t>
  </si>
  <si>
    <t>Interest Cancelled Death</t>
  </si>
  <si>
    <t>Interest Cancelled-Law Enforce</t>
  </si>
  <si>
    <t>Interest Cancel-Peace Corp-Vis</t>
  </si>
  <si>
    <t>Ln Int Cnc-Tch Svc Shtg</t>
  </si>
  <si>
    <t>Ln Int Cnc-Hlth Svc N/Med Tech</t>
  </si>
  <si>
    <t>Ln Int Cnc Svc-High Risk Chld</t>
  </si>
  <si>
    <t>Ln Int Cnc-Headstart</t>
  </si>
  <si>
    <t>Interest Revenue Miscellaneous</t>
  </si>
  <si>
    <t>Federal Government</t>
  </si>
  <si>
    <t>Misc Agncy-Fed Flow Thru Funds</t>
  </si>
  <si>
    <t>Excess/Short Fed C&amp;G</t>
  </si>
  <si>
    <t>Federal Financial Aid</t>
  </si>
  <si>
    <t>Fl. City/County Gov Grants</t>
  </si>
  <si>
    <t>Non FL City/County Grants</t>
  </si>
  <si>
    <t>Fl State Gov Grants</t>
  </si>
  <si>
    <t>Star Fund Gov C&amp;G</t>
  </si>
  <si>
    <t>Non FL State Grants</t>
  </si>
  <si>
    <t>Rev Distribution St Local C&amp;G</t>
  </si>
  <si>
    <t>Florida State Financial Aid</t>
  </si>
  <si>
    <t>Fl. State Gov Contracts</t>
  </si>
  <si>
    <t>Fl. City/County Gov. Contracts</t>
  </si>
  <si>
    <t>St Local C&amp;G Refunds</t>
  </si>
  <si>
    <t>Grant Misc Agencies</t>
  </si>
  <si>
    <t>Charitable Organizations</t>
  </si>
  <si>
    <t>Corporations</t>
  </si>
  <si>
    <t>Foundations</t>
  </si>
  <si>
    <t>Gifts from Individuals</t>
  </si>
  <si>
    <t>CWSP Off-Campus Contrib</t>
  </si>
  <si>
    <t>Program Income Mag Lab-Fed</t>
  </si>
  <si>
    <t>Program Income Mag Lab-Non Fed</t>
  </si>
  <si>
    <t>DSO Financial Aid</t>
  </si>
  <si>
    <t>DSO Sales &amp; Services</t>
  </si>
  <si>
    <t>DSO - Gifts and Donations</t>
  </si>
  <si>
    <t>Ed Dpt Sale Rev Fr St Agencies</t>
  </si>
  <si>
    <t>Ed Dept Rent Rev Fr St Agncy</t>
  </si>
  <si>
    <t>Ed Dpt Commission Rev FrNon-St</t>
  </si>
  <si>
    <t>Ed Dept Ad Rev Fr Non-St</t>
  </si>
  <si>
    <t>Ed Dpt Sales to Non-State</t>
  </si>
  <si>
    <t>Ed Dpt Ticket Rev Fr Non-St</t>
  </si>
  <si>
    <t>Salvage Sales</t>
  </si>
  <si>
    <t>Surplus Sales - Online</t>
  </si>
  <si>
    <t>Ed Dept Rent Rev Fr Non-St</t>
  </si>
  <si>
    <t>Ed Dept Fine/Penalty Rev</t>
  </si>
  <si>
    <t>Matriculation Fees - Fall</t>
  </si>
  <si>
    <t>Matriculation Fees - Spring</t>
  </si>
  <si>
    <t>Matriculation Fees - Summer</t>
  </si>
  <si>
    <t>Matriculation Fees -Special I</t>
  </si>
  <si>
    <t>Matriculation Fees -Special II</t>
  </si>
  <si>
    <t>Special Student Applic Fees</t>
  </si>
  <si>
    <t>Athletic Fees - Fall</t>
  </si>
  <si>
    <t>Athletic Fees - Spring</t>
  </si>
  <si>
    <t>Athletic Fees - Summer</t>
  </si>
  <si>
    <t>Audit Classes - Fall</t>
  </si>
  <si>
    <t>Audit Classes - Spring</t>
  </si>
  <si>
    <t>Audit Classes - Summer</t>
  </si>
  <si>
    <t>Audit Classes - Special</t>
  </si>
  <si>
    <t>Lab Fees - Fall</t>
  </si>
  <si>
    <t>Lab Fees - Spring</t>
  </si>
  <si>
    <t>Lab Fees - Summer</t>
  </si>
  <si>
    <t>Out of State Tuition - Fall</t>
  </si>
  <si>
    <t>Out of State Tuition - Spring</t>
  </si>
  <si>
    <t>Out of State Tuition - Summer</t>
  </si>
  <si>
    <t>Med Matric In-State - Fall</t>
  </si>
  <si>
    <t>Med Matric Out of State - Fall</t>
  </si>
  <si>
    <t>Med Matric In-State - Spring</t>
  </si>
  <si>
    <t>Med Matric Out of State-Spring</t>
  </si>
  <si>
    <t>Med Matric In-State-Summer</t>
  </si>
  <si>
    <t>Med Matric Out of State-Summer</t>
  </si>
  <si>
    <t>Student Activity Fees - Fall</t>
  </si>
  <si>
    <t>Student Activity Fees - Spring</t>
  </si>
  <si>
    <t>Student Activity Fees - Summer</t>
  </si>
  <si>
    <t>Student Activity Fee - Special</t>
  </si>
  <si>
    <t>General Stdnt Aid Fees-Fall</t>
  </si>
  <si>
    <t>Graduate Application Fees</t>
  </si>
  <si>
    <t>Supply Fees-Dem School</t>
  </si>
  <si>
    <t>Undergrad Application Fees</t>
  </si>
  <si>
    <t>Student Fin Aid Fee 1</t>
  </si>
  <si>
    <t>Student Fin Aid Fee ll</t>
  </si>
  <si>
    <t>Student Fin Aid Fee lll</t>
  </si>
  <si>
    <t>Student Fin Aid Fee lV</t>
  </si>
  <si>
    <t>Student Financial Aid Special</t>
  </si>
  <si>
    <t>Transport Access Fees-Fall</t>
  </si>
  <si>
    <t>Transport Access Fees-Spring</t>
  </si>
  <si>
    <t>Transport Access Fees-Summer</t>
  </si>
  <si>
    <t>Student Health Fees-Fall</t>
  </si>
  <si>
    <t>Student Health Fees-Spring</t>
  </si>
  <si>
    <t>Student Health Fees-Summer</t>
  </si>
  <si>
    <t>Student Health Fees-Special</t>
  </si>
  <si>
    <t>Distance Learning Fees-Fall</t>
  </si>
  <si>
    <t>Distance Learning Fees-Spring</t>
  </si>
  <si>
    <t>Distance Learning Fees-Summer</t>
  </si>
  <si>
    <t>Navy DL In State Fees</t>
  </si>
  <si>
    <t>Navy DL Out of State Fees</t>
  </si>
  <si>
    <t>Women's Athletics Title 9</t>
  </si>
  <si>
    <t>Late Registration-Fall</t>
  </si>
  <si>
    <t>Late Registration-Spring</t>
  </si>
  <si>
    <t>Late Registration-Summer</t>
  </si>
  <si>
    <t>Late Registration-Special</t>
  </si>
  <si>
    <t>Late Payment Fees - Fall</t>
  </si>
  <si>
    <t>Late Payment Fees - Spring</t>
  </si>
  <si>
    <t>Late Payment Fees - Summer</t>
  </si>
  <si>
    <t>Late Payment Fees-Special</t>
  </si>
  <si>
    <t>Distance Learning Fees-COE</t>
  </si>
  <si>
    <t>Application Fees</t>
  </si>
  <si>
    <t>Examination &amp; Testing Fees</t>
  </si>
  <si>
    <t>FSUCard Replacement Fee</t>
  </si>
  <si>
    <t>FSUCard Annual Fee</t>
  </si>
  <si>
    <t>FSUCard Initial Fee</t>
  </si>
  <si>
    <t>Non Credit Courses Revenue</t>
  </si>
  <si>
    <t>Internatl Study Fees-Fall</t>
  </si>
  <si>
    <t>Internatl Study Fees-Spring</t>
  </si>
  <si>
    <t>Internatl Programs Stdt Fees</t>
  </si>
  <si>
    <t>Building Fees - Fall</t>
  </si>
  <si>
    <t>Building Fees - Spring</t>
  </si>
  <si>
    <t>Building Fees - Summer</t>
  </si>
  <si>
    <t>Building Fees l</t>
  </si>
  <si>
    <t>Building Fees ll</t>
  </si>
  <si>
    <t>Building Fees lll</t>
  </si>
  <si>
    <t>Bldg CapImp Remit to DCU</t>
  </si>
  <si>
    <t>Cap Improvement Fee Fall</t>
  </si>
  <si>
    <t>Cap Improvement Fee Spring</t>
  </si>
  <si>
    <t>Cap Improvement Fee Summer</t>
  </si>
  <si>
    <t>Differential Tuition - Fall</t>
  </si>
  <si>
    <t>Differential Tuition - Spring</t>
  </si>
  <si>
    <t>Differential Tuition - Summer</t>
  </si>
  <si>
    <t>Transcript Fee</t>
  </si>
  <si>
    <t>Disb PY Registration Fees</t>
  </si>
  <si>
    <t>Stud Fac Use per Stud - Fall</t>
  </si>
  <si>
    <t>Stud Fac Use per Stud - Spring</t>
  </si>
  <si>
    <t>Stud Fac Use per Stud - Summer</t>
  </si>
  <si>
    <t>Stud Fac Use per Cred - Fall</t>
  </si>
  <si>
    <t>Stud Fac Use per Cred - Spring</t>
  </si>
  <si>
    <t>Stud Fac Use per Cred - Summer</t>
  </si>
  <si>
    <t>Technology Fees  Summer</t>
  </si>
  <si>
    <t>Technology Fees Fall</t>
  </si>
  <si>
    <t>Technology Fees Spring</t>
  </si>
  <si>
    <t>Art Equipment Fee Fall</t>
  </si>
  <si>
    <t>Art Equipment Fee Spring</t>
  </si>
  <si>
    <t>Art Equipment Fee Summer</t>
  </si>
  <si>
    <t>Gate Sales-Ringling</t>
  </si>
  <si>
    <t>Advance Sales-Ringling</t>
  </si>
  <si>
    <t>Over-Short Gate Ticket Ringlin</t>
  </si>
  <si>
    <t>Facilities Rental Fee-Ringling</t>
  </si>
  <si>
    <t>Rsvd Tkt Hndling Fee-Ringling</t>
  </si>
  <si>
    <t>Ringling Audio Tour Revenue</t>
  </si>
  <si>
    <t>Banyan Commission-Ringling</t>
  </si>
  <si>
    <t>Ringling Hist Preserv Donation</t>
  </si>
  <si>
    <t>Bldg Code Pln Review Fee</t>
  </si>
  <si>
    <t>Bldg Code Inspection Fee</t>
  </si>
  <si>
    <t>Building Fee-Other</t>
  </si>
  <si>
    <t>Fees-Other Miscellaneous</t>
  </si>
  <si>
    <t>Returned NSF Check Charges</t>
  </si>
  <si>
    <t>Late Registration Fall</t>
  </si>
  <si>
    <t>Late Registration Spring</t>
  </si>
  <si>
    <t>Late Registration Summer</t>
  </si>
  <si>
    <t>Late Registration Special</t>
  </si>
  <si>
    <t>Late Tuition Payments Fall</t>
  </si>
  <si>
    <t>Late Tuition Payments Spring</t>
  </si>
  <si>
    <t>Late Tuition Payments Summer</t>
  </si>
  <si>
    <t>Late Tuition Payments Special</t>
  </si>
  <si>
    <t>Law Enf Fines- Pnlty- Judgemnt</t>
  </si>
  <si>
    <t>Sale Confscated Proprty-Law</t>
  </si>
  <si>
    <t>Distance Learn Fees X Fall</t>
  </si>
  <si>
    <t>Distance Learn Fees X Spring</t>
  </si>
  <si>
    <t>Distance Learn Fees X Summer</t>
  </si>
  <si>
    <t>Distance Learn Market Rate Fal</t>
  </si>
  <si>
    <t>Distance Learn Market Rate Spr</t>
  </si>
  <si>
    <t>Distance Learn Market Rate Sum</t>
  </si>
  <si>
    <t>Aux Prior Year Exp Refunds</t>
  </si>
  <si>
    <t>Aux Insurance Recoveries</t>
  </si>
  <si>
    <t>Aux Ins Recoveries Other</t>
  </si>
  <si>
    <t>Aux Insurance Claims Thagard</t>
  </si>
  <si>
    <t>Aux PY Payment Cancelled</t>
  </si>
  <si>
    <t>Aux Credit Card 2% Svc Fee</t>
  </si>
  <si>
    <t>Aux Criminology Jrnl Sales</t>
  </si>
  <si>
    <t>Aux DHL Sales to St Agency</t>
  </si>
  <si>
    <t>Aux UPS Sales to ST Agency</t>
  </si>
  <si>
    <t>Aux Mail Prep Sale to St Agncy</t>
  </si>
  <si>
    <t>Aux Presort to St Agency</t>
  </si>
  <si>
    <t>Aux Stnd to Outside St Agency</t>
  </si>
  <si>
    <t>Aux Bus Reply-Rtrnd Mail to St</t>
  </si>
  <si>
    <t>Aux Post Due Svc-Underpd Mail</t>
  </si>
  <si>
    <t>Aux Assessment Fee_State</t>
  </si>
  <si>
    <t>Aux Local Svc Revenue-State</t>
  </si>
  <si>
    <t>Aux Non-Recur Materials-St</t>
  </si>
  <si>
    <t>Aux Non-Recur Labor-St</t>
  </si>
  <si>
    <t>Aux Cellular Service State</t>
  </si>
  <si>
    <t>Aux Cellular Equip Rev State</t>
  </si>
  <si>
    <t>Aux Administrative Fees-State</t>
  </si>
  <si>
    <t>Aux Long Distance Rev State</t>
  </si>
  <si>
    <t>Aux Internatnl Mail-Svc-St</t>
  </si>
  <si>
    <t>Aux Domestic Flat-St</t>
  </si>
  <si>
    <t>Aux Utility Revenues</t>
  </si>
  <si>
    <t>Aux Misc Sales to St Agencies</t>
  </si>
  <si>
    <t>Aux Sales to FSU</t>
  </si>
  <si>
    <t>Aux Sales to Students Thagard</t>
  </si>
  <si>
    <t>Aux Sales to FSU Electricity</t>
  </si>
  <si>
    <t>Aux Sales to FSU Natural Gas</t>
  </si>
  <si>
    <t>Aux Sales to FSU Water</t>
  </si>
  <si>
    <t>Aux Sales to FSU Sewer</t>
  </si>
  <si>
    <t>Aux Sales to FSU Refuse Intrnl</t>
  </si>
  <si>
    <t>Aux Sales to FSU Refuse Extrnl</t>
  </si>
  <si>
    <t>Aux Sales to FSU Outdoor Light</t>
  </si>
  <si>
    <t>Aux Sales to FSU Chilled Water</t>
  </si>
  <si>
    <t>Aux Sales to FSU Steam</t>
  </si>
  <si>
    <t>Aux Sales to FSU Fire Service</t>
  </si>
  <si>
    <t>Aux Sales to FSU Stormwater</t>
  </si>
  <si>
    <t>Aux Sales to FSU LP Gas</t>
  </si>
  <si>
    <t>Aux Sales to FSU Fuel Oil #2</t>
  </si>
  <si>
    <t>Aux Sales to FSU Fuel Oil #6</t>
  </si>
  <si>
    <t>Aux Sales to FSU Utility Misc</t>
  </si>
  <si>
    <t>Aux Misc Sales to Non-State</t>
  </si>
  <si>
    <t>Rev Distribut Aux Non-St Sales</t>
  </si>
  <si>
    <t>Passport Revenue</t>
  </si>
  <si>
    <t>Art Shop Sales-Ringling</t>
  </si>
  <si>
    <t>Circus Shop Sales-Ringling</t>
  </si>
  <si>
    <t>CA'D'ZAN Shop Sales-Ringling</t>
  </si>
  <si>
    <t>Warehouse Sales-Ringling</t>
  </si>
  <si>
    <t>Royalty Income-Ringling</t>
  </si>
  <si>
    <t>Over-Short Shop Sales-Ringling</t>
  </si>
  <si>
    <t>Game Ticket Sales-Current</t>
  </si>
  <si>
    <t>Game Ticket Sales-Advance</t>
  </si>
  <si>
    <t>Game Guarantees</t>
  </si>
  <si>
    <t>ACC Conference Distribution</t>
  </si>
  <si>
    <t>Decals</t>
  </si>
  <si>
    <t>Citations</t>
  </si>
  <si>
    <t>Meter Revenues</t>
  </si>
  <si>
    <t>Pay Lot Collections</t>
  </si>
  <si>
    <t>Auxiliary Ticket Sales Other</t>
  </si>
  <si>
    <t>FSU P.O. Box Fees</t>
  </si>
  <si>
    <t>Aux Student Telecom Rev N-St</t>
  </si>
  <si>
    <t>Aux Vendor Marketing Rev N-St</t>
  </si>
  <si>
    <t>Aux Alt Op Svc Commissn Non-St</t>
  </si>
  <si>
    <t>Game Ticket Sales-Home</t>
  </si>
  <si>
    <t>Game Ticket Sales-Away</t>
  </si>
  <si>
    <t>Aux 800 Svc Commission Non-St</t>
  </si>
  <si>
    <t>Aux FSU-At-Home Commiss Non-St</t>
  </si>
  <si>
    <t>Aux DSL Commission Non-St</t>
  </si>
  <si>
    <t>Aux Alt Egress Commiss Non-St</t>
  </si>
  <si>
    <t>Aux Local Svc Revenue Non-St</t>
  </si>
  <si>
    <t>Aux Non-Recur Materials Non-St</t>
  </si>
  <si>
    <t>Aux Non-Recur Labor-Non-ST</t>
  </si>
  <si>
    <t>Aux Cellular Service Non-State</t>
  </si>
  <si>
    <t>Aux Business Long Dist Non-St</t>
  </si>
  <si>
    <t>Aux Administrative Fees Non-St</t>
  </si>
  <si>
    <t>Aux Long Distance Rev Non-St</t>
  </si>
  <si>
    <t>Aux Pay Station Commiss Non-St</t>
  </si>
  <si>
    <t>Internation Mail Srvc-St Agncy</t>
  </si>
  <si>
    <t>Domest Flat-Srvc-Non State</t>
  </si>
  <si>
    <t>Aux SaleSvc HighSpeed Internet</t>
  </si>
  <si>
    <t>DHL Sales Non State</t>
  </si>
  <si>
    <t>UPS Sales Non State</t>
  </si>
  <si>
    <t>Mail Prep Non State</t>
  </si>
  <si>
    <t>Presort Non State</t>
  </si>
  <si>
    <t>Standard Non State</t>
  </si>
  <si>
    <t>Business Rep Rtrnd Mail Non St</t>
  </si>
  <si>
    <t>Post Due-UndrPd Mail Non St</t>
  </si>
  <si>
    <t>Intern'l Prg Apartment Rent</t>
  </si>
  <si>
    <t>Orientation Fee Spcl Student</t>
  </si>
  <si>
    <t>Athletics Market Place</t>
  </si>
  <si>
    <t>Athletic Programs Media Guides</t>
  </si>
  <si>
    <t>Athletic Ticket Postage Handli</t>
  </si>
  <si>
    <t>Athletic NCAA Special Assistan</t>
  </si>
  <si>
    <t>Athletic NCAA Opportunity Fund</t>
  </si>
  <si>
    <t>Athletic Sponsorships</t>
  </si>
  <si>
    <t>Athletic ACC Reimbursement</t>
  </si>
  <si>
    <t>Athletic NCAA Reimbursement</t>
  </si>
  <si>
    <t>Leach Center</t>
  </si>
  <si>
    <t>Aux TV &amp; Radio Revenues</t>
  </si>
  <si>
    <t>Aux Advertising Revenues</t>
  </si>
  <si>
    <t>Aux Facility Rent Non-Housing</t>
  </si>
  <si>
    <t>Aux Facility Rent Housing</t>
  </si>
  <si>
    <t>Student Orientation Fee</t>
  </si>
  <si>
    <t>Student Orientation Meals &amp; Lo</t>
  </si>
  <si>
    <t>Student Orientation Apparel</t>
  </si>
  <si>
    <t>Aux Sale Svc Outside St Govt</t>
  </si>
  <si>
    <t>Aux Commissions</t>
  </si>
  <si>
    <t>Aux Returned Check Chrg</t>
  </si>
  <si>
    <t>Collection Commissions</t>
  </si>
  <si>
    <t>Collection Commissions-VR</t>
  </si>
  <si>
    <t>Collection Commissions-GRC</t>
  </si>
  <si>
    <t>Collect Commission-Conserv</t>
  </si>
  <si>
    <t>Collection Commission -W F</t>
  </si>
  <si>
    <t>Aux Cash Over &amp; Short</t>
  </si>
  <si>
    <t>Unidentified Cks/ACH/Wire</t>
  </si>
  <si>
    <t>Sale Goods to St Employees</t>
  </si>
  <si>
    <t>Sale Services to St Employees</t>
  </si>
  <si>
    <t>Aux Fines and Penalties</t>
  </si>
  <si>
    <t>Sale Data Processing Services</t>
  </si>
  <si>
    <t>EDP Sales-State Universities</t>
  </si>
  <si>
    <t>EDP Sales to DOE</t>
  </si>
  <si>
    <t>EDP Sales - Other State</t>
  </si>
  <si>
    <t>EDP Sales Outside St Govt</t>
  </si>
  <si>
    <t>EDP Sales to School Districts</t>
  </si>
  <si>
    <t>EDP Sales to Comm Colleges</t>
  </si>
  <si>
    <t>EDP Sale Other Pol Subdivision</t>
  </si>
  <si>
    <t>EDP Sales - NonProfit Private</t>
  </si>
  <si>
    <t>EDP Sale For Profit - Private</t>
  </si>
  <si>
    <t>St Appropriated ARRA Funds</t>
  </si>
  <si>
    <t>Oth Op Miscellaneous Rev</t>
  </si>
  <si>
    <t>Oth Op Fines &amp; Penalties</t>
  </si>
  <si>
    <t>NDSL/NSL Cr Bal Refnd Revrsl</t>
  </si>
  <si>
    <t>NDSL/NSL Col. Costs Frm Borrw.</t>
  </si>
  <si>
    <t>Financial Aid EFT Clearing</t>
  </si>
  <si>
    <t>Oth Op Cash Over &amp; Short</t>
  </si>
  <si>
    <t>Collection Held-Suspense</t>
  </si>
  <si>
    <t>Premium Revenue Sale of Loans</t>
  </si>
  <si>
    <t>Rev Distrib Oth Op Non-Sale</t>
  </si>
  <si>
    <t>FL-ST Govt-Fed Flow Thru Funds</t>
  </si>
  <si>
    <t>OthOp Sale Good&amp;Svcs to State</t>
  </si>
  <si>
    <t>OthOp Sale GoodSvcs to FSU</t>
  </si>
  <si>
    <t>OthOp Sale Goods Non-St Entity</t>
  </si>
  <si>
    <t>OthOp Sale Svcs Non-St Entity</t>
  </si>
  <si>
    <t>Rev Distrib Oth Op N-St Sale</t>
  </si>
  <si>
    <t>OthOp Sale Svc to St Empl</t>
  </si>
  <si>
    <t>Other Op Rev Foundation</t>
  </si>
  <si>
    <t>Other Op Rev Contributions</t>
  </si>
  <si>
    <t>Prior Yr. Refunds</t>
  </si>
  <si>
    <t>PY Payment Cancellations</t>
  </si>
  <si>
    <t>OthOp Insurance Recoveries</t>
  </si>
  <si>
    <t>Capital Grant Cntrct Donation</t>
  </si>
  <si>
    <t>DEBITEK Collection-Dist Access</t>
  </si>
  <si>
    <t>C &amp; G Overhead Revenue</t>
  </si>
  <si>
    <t>I&amp;S Mandatory Transfer In</t>
  </si>
  <si>
    <t>Trns In Fr Diff Fund w/in FSU</t>
  </si>
  <si>
    <t>Inter-Agency Transfer In</t>
  </si>
  <si>
    <t>Trns In Fr Same Fund w/in FSU</t>
  </si>
  <si>
    <t>Transf In O/H Asmnt Intra-Fund</t>
  </si>
  <si>
    <t>Transf In O/H Asmnt Inter-Fund</t>
  </si>
  <si>
    <t>Transfer In Fr Component Unit</t>
  </si>
  <si>
    <t>DSO - Royalties &amp; Licensing Fe</t>
  </si>
  <si>
    <t>Gain / Loss on Sale of Invest</t>
  </si>
  <si>
    <t>Addition to Permanent Endow</t>
  </si>
  <si>
    <t>Budget Fees</t>
  </si>
  <si>
    <t>Budget Matriculation Fees</t>
  </si>
  <si>
    <t>Budget Out-of-State Tuition</t>
  </si>
  <si>
    <t>Budget Matric Waivers St Fund</t>
  </si>
  <si>
    <t>Budget Matric Waivers Non-Fund</t>
  </si>
  <si>
    <t>Budget OOS Waivers St Fund</t>
  </si>
  <si>
    <t>Budget OOS Waivers Non-Fund</t>
  </si>
  <si>
    <t>Budget Application Fees</t>
  </si>
  <si>
    <t>Budget Late Registration Fees</t>
  </si>
  <si>
    <t>Budget Other Fees</t>
  </si>
  <si>
    <t>Budget Other Fees-Market Rate</t>
  </si>
  <si>
    <t>Budget Differential Tuition</t>
  </si>
  <si>
    <t>Budget Misc Revenue</t>
  </si>
  <si>
    <t>Budget Interest Earnings</t>
  </si>
  <si>
    <t>Budget US Grants</t>
  </si>
  <si>
    <t>Budget City County Grants</t>
  </si>
  <si>
    <t>Budget State Grants</t>
  </si>
  <si>
    <t>Budget Other Grants &amp; Donation</t>
  </si>
  <si>
    <t>Budget Fine Forfeiture Jdgmnt</t>
  </si>
  <si>
    <t>Budget Penalties</t>
  </si>
  <si>
    <t>Budget Sale Forfeited Property</t>
  </si>
  <si>
    <t>Budget Intra-Fund Transfer</t>
  </si>
  <si>
    <t>Budget Inter-Fund Transfer</t>
  </si>
  <si>
    <t>Budget Inter-Agency Transfer</t>
  </si>
  <si>
    <t>Budget I&amp;S Inter-Agency Transf</t>
  </si>
  <si>
    <t>Budget Overhead IntraFund Xfer</t>
  </si>
  <si>
    <t>Budget Overhead InterFund Xfer</t>
  </si>
  <si>
    <t>Budget Refunds</t>
  </si>
  <si>
    <t>Budget Sales G/S to State</t>
  </si>
  <si>
    <t>Budget Sales Goods Non-State</t>
  </si>
  <si>
    <t>Budget Sales Services Non-St</t>
  </si>
  <si>
    <t>Budget Sales Goods to St Empl</t>
  </si>
  <si>
    <t>Budget Sales Svcs St Employees</t>
  </si>
  <si>
    <t>Budget Rent</t>
  </si>
  <si>
    <t>Budget Concessions</t>
  </si>
  <si>
    <t>Budget Fire Insurance Recovery</t>
  </si>
  <si>
    <t>Budget Othr Insurance Recovery</t>
  </si>
  <si>
    <t>Budget Salvage Sales</t>
  </si>
  <si>
    <t>Budget Prior Yr Payment Cancel</t>
  </si>
  <si>
    <t>Budget Research Overhead</t>
  </si>
  <si>
    <t>Budget Library Fines</t>
  </si>
  <si>
    <t>Budget Revenue Distribution</t>
  </si>
  <si>
    <t>Budget EDP Sales to State</t>
  </si>
  <si>
    <t>Budget EDP Sales to Non-State</t>
  </si>
  <si>
    <t>Budget Suspense</t>
  </si>
  <si>
    <t>Budget Devolution Payroll Cash</t>
  </si>
  <si>
    <t>Budget All Expenditures</t>
  </si>
  <si>
    <t>Budget Direct Costs</t>
  </si>
  <si>
    <t>Budget Salary Wages</t>
  </si>
  <si>
    <t>Budget Sal  Wages OPS Restrict</t>
  </si>
  <si>
    <t>Additional Deferred Comp</t>
  </si>
  <si>
    <t>Library Materials Expendable</t>
  </si>
  <si>
    <t>Library Materials Capital</t>
  </si>
  <si>
    <t>Budget Expense</t>
  </si>
  <si>
    <t>Expense Payroll Suspense</t>
  </si>
  <si>
    <t>State Personnel Assessments</t>
  </si>
  <si>
    <t>Budget Indep Svcs Restrict</t>
  </si>
  <si>
    <t>Research Analysis Svcs</t>
  </si>
  <si>
    <t>Accounting/Auditing Svc</t>
  </si>
  <si>
    <t>Bank Service Charges</t>
  </si>
  <si>
    <t>Chartered Vehicle Travel</t>
  </si>
  <si>
    <t>Chartered Air Travel</t>
  </si>
  <si>
    <t>Architectural Svc (Not FCO)</t>
  </si>
  <si>
    <t>Prof Svcs Engineering</t>
  </si>
  <si>
    <t>Prof Svcs Constrct/Renovations</t>
  </si>
  <si>
    <t>Mailing/Delivery Services</t>
  </si>
  <si>
    <t>Food Services</t>
  </si>
  <si>
    <t>Prof Svcs Excl MTDC</t>
  </si>
  <si>
    <t>Prof Svcs Security</t>
  </si>
  <si>
    <t>Prof Svcs Other</t>
  </si>
  <si>
    <t>CPD Services</t>
  </si>
  <si>
    <t>Sponsored Agreements C&amp;G Only</t>
  </si>
  <si>
    <t>Games Guarantees</t>
  </si>
  <si>
    <t>Canx/Approved Write Offs</t>
  </si>
  <si>
    <t>Athletic Game Officials</t>
  </si>
  <si>
    <t>Taxable Stipends C&amp;G</t>
  </si>
  <si>
    <t>Film Process &amp; Print</t>
  </si>
  <si>
    <t>Pof Svcs Laser Lab</t>
  </si>
  <si>
    <t>Bio Chemical Synthesis Svc</t>
  </si>
  <si>
    <t>Analysis Mass Spectrometry</t>
  </si>
  <si>
    <t>Analysis Electron Microscope</t>
  </si>
  <si>
    <t>Analysis Nuclear Mag Resonance</t>
  </si>
  <si>
    <t>Prof Svcs Scientific Rsch/Anal</t>
  </si>
  <si>
    <t>Collection &amp; Recovery Services</t>
  </si>
  <si>
    <t>Collect Agency Exp Borrower Pd</t>
  </si>
  <si>
    <t>Prof Svcs Mgmt/Marketing</t>
  </si>
  <si>
    <t>Maintenance IT Hardware</t>
  </si>
  <si>
    <t>Prof Svcs IT/Network</t>
  </si>
  <si>
    <t>Legal Services Excluded</t>
  </si>
  <si>
    <t>Prof Svcs Medical</t>
  </si>
  <si>
    <t>CourtRpt/Transcrpt/Translat</t>
  </si>
  <si>
    <t>Prof Svcs Custodial/Janitorial</t>
  </si>
  <si>
    <t>Temporary Support Services</t>
  </si>
  <si>
    <t>Guide Money</t>
  </si>
  <si>
    <t>Prof Svcs Audio/Visual</t>
  </si>
  <si>
    <t>Prof Svcs Live Performances</t>
  </si>
  <si>
    <t>Prof Svcs Landscaping</t>
  </si>
  <si>
    <t>Linen and Laundry Services</t>
  </si>
  <si>
    <t>Examination and Testing</t>
  </si>
  <si>
    <t>Employee Training</t>
  </si>
  <si>
    <t>Prof Svcs Foreign</t>
  </si>
  <si>
    <t>Tchr Res NonRes Ind Cntrct Exm</t>
  </si>
  <si>
    <t>Tchr Res NonR Ind Cntr Foreign</t>
  </si>
  <si>
    <t>Advertisement Legal &amp; Official</t>
  </si>
  <si>
    <t>Ads Employment/Job Opportunity</t>
  </si>
  <si>
    <t>Ads Public Services Notices</t>
  </si>
  <si>
    <t>Advertisements Promotional</t>
  </si>
  <si>
    <t>Prof Svcs Advertising</t>
  </si>
  <si>
    <t>Athletic Promotions</t>
  </si>
  <si>
    <t>Budget Printing Dup Restrict</t>
  </si>
  <si>
    <t>Printing/Reproduction Services</t>
  </si>
  <si>
    <t>PrintRepro Forms</t>
  </si>
  <si>
    <t>PrintRepro Duplicating</t>
  </si>
  <si>
    <t>PrintRepro Extrnl Publication</t>
  </si>
  <si>
    <t>PrintRepro Tickets</t>
  </si>
  <si>
    <t>PrintRepro Photo Slide Movie</t>
  </si>
  <si>
    <t>PrintRepro Instruction Purpose</t>
  </si>
  <si>
    <t>PrintRepro Xerox</t>
  </si>
  <si>
    <t>FSU Card Services</t>
  </si>
  <si>
    <t>PrintRepro Addressing Svcs</t>
  </si>
  <si>
    <t>PrintRepro Binding Expense</t>
  </si>
  <si>
    <t>Budget Care Subsistence Restri</t>
  </si>
  <si>
    <t>Employee Physical Examinations</t>
  </si>
  <si>
    <t>In Patient Care &amp; Subsistence</t>
  </si>
  <si>
    <t>Out Patient Care &amp; Subsistence</t>
  </si>
  <si>
    <t>Care/Subs Lab Test &amp; Analyses</t>
  </si>
  <si>
    <t>Research Participant Incl MTDC</t>
  </si>
  <si>
    <t>Subsistence/Maint Allowance</t>
  </si>
  <si>
    <t>SubRecipient Incl MTDC</t>
  </si>
  <si>
    <t>SubRecipient Excl MTDC</t>
  </si>
  <si>
    <t>SubRecipient Incl MTDC FA Wavd</t>
  </si>
  <si>
    <t>Budget Domestic Travel Restric</t>
  </si>
  <si>
    <t>Travel In State</t>
  </si>
  <si>
    <t>Travel Athl In State Staff</t>
  </si>
  <si>
    <t>Travel Athl In State Recruit</t>
  </si>
  <si>
    <t>Travel Athl In State Prospect</t>
  </si>
  <si>
    <t>Travel Out of State</t>
  </si>
  <si>
    <t>Travel Athl Out of St Staff</t>
  </si>
  <si>
    <t>Travel Athl Out of St Recruit</t>
  </si>
  <si>
    <t>Travel Athl Out of St Prospect</t>
  </si>
  <si>
    <t>Budget Foreign Travel Restrict</t>
  </si>
  <si>
    <t>Travel Foreign</t>
  </si>
  <si>
    <t>Travel Athl Foreign Staff</t>
  </si>
  <si>
    <t>Travel Athl Foreign Recruit</t>
  </si>
  <si>
    <t>Travel Athl Foreign Prospect</t>
  </si>
  <si>
    <t>Class C Meal Allowance</t>
  </si>
  <si>
    <t>Travel Advances</t>
  </si>
  <si>
    <t>Moving Paid to Vendor Qualify</t>
  </si>
  <si>
    <t>Employee Relocation Qualified</t>
  </si>
  <si>
    <t>Moving Nonqualified 3rd Party</t>
  </si>
  <si>
    <t>Moving Empl Reimburse Nonqual</t>
  </si>
  <si>
    <t>Budget Communication/Ship Rstr</t>
  </si>
  <si>
    <t>Network/Comm Recurring</t>
  </si>
  <si>
    <t>Network/Comm Data Circuits</t>
  </si>
  <si>
    <t>Telecom Business Local Svc</t>
  </si>
  <si>
    <t>Network/Comm Long Distance</t>
  </si>
  <si>
    <t>Telecom Business Long Distnce</t>
  </si>
  <si>
    <t>Telecom SUNCOM Long Distance</t>
  </si>
  <si>
    <t>Telecom Local Oth DGS Archives</t>
  </si>
  <si>
    <t>Network/Comm Non Recurring</t>
  </si>
  <si>
    <t>Telecom Maintenance Recurring</t>
  </si>
  <si>
    <t>Network/Comm Admin/Indirect</t>
  </si>
  <si>
    <t>Network/Comm CGS Materials</t>
  </si>
  <si>
    <t>Network/Comm Inven Over/Short</t>
  </si>
  <si>
    <t>Equip Telecom Expendable</t>
  </si>
  <si>
    <t>Telecom Supplies &amp; Eq &lt;1000</t>
  </si>
  <si>
    <t>Cellular Leases</t>
  </si>
  <si>
    <t>Mobile Devices/Services</t>
  </si>
  <si>
    <t>Computer Network Fees</t>
  </si>
  <si>
    <t>Data Non Recurring</t>
  </si>
  <si>
    <t>UTL Electricity</t>
  </si>
  <si>
    <t>UTL Outdoor Lighting</t>
  </si>
  <si>
    <t>UTL Fire Service Fees</t>
  </si>
  <si>
    <t>UTL Natural Gas and LP Gas</t>
  </si>
  <si>
    <t>UTL Water</t>
  </si>
  <si>
    <t>UTL Sewer</t>
  </si>
  <si>
    <t>UTL Chilled Water</t>
  </si>
  <si>
    <t>UTL Stormwater Services</t>
  </si>
  <si>
    <t>UTL Garbage Disp Svc External</t>
  </si>
  <si>
    <t>UTL Garbage Disp Svc Internal</t>
  </si>
  <si>
    <t>UTL Steam</t>
  </si>
  <si>
    <t>Temporary Billings Utilites</t>
  </si>
  <si>
    <t>Repair/Maint Svcs Capital Proj</t>
  </si>
  <si>
    <t>Repairs and Maintenance Other</t>
  </si>
  <si>
    <t>Repairs &amp; Maintenance Contract</t>
  </si>
  <si>
    <t>Building Repair &amp; Maint NonFCO</t>
  </si>
  <si>
    <t>R&amp;M Plnt Mch Boilr Elev Etc</t>
  </si>
  <si>
    <t>R&amp;M Plant Machine Non-Cntrct</t>
  </si>
  <si>
    <t>R&amp;M Plant Machine Contracted</t>
  </si>
  <si>
    <t>R&amp;M Field Preparation</t>
  </si>
  <si>
    <t>R&amp;M Office Furniture &amp; Equip</t>
  </si>
  <si>
    <t>R&amp;M Office Furn &amp; Equip N-Cntr</t>
  </si>
  <si>
    <t>R&amp;M Ed Med Ag Res</t>
  </si>
  <si>
    <t>R&amp;M Ed Med Ag Res Non Cntr</t>
  </si>
  <si>
    <t>R&amp;M Ed Med Ag Res Cntrct</t>
  </si>
  <si>
    <t>Repair Maint Computing / IT Eq</t>
  </si>
  <si>
    <t>Repair Maint Data Comm Equip</t>
  </si>
  <si>
    <t>Maintenance IT Software</t>
  </si>
  <si>
    <t>R&amp;M CPU Memeory Etc</t>
  </si>
  <si>
    <t>Repair &amp; Maint Disk Devices</t>
  </si>
  <si>
    <t>Repair &amp; Maint Tape Devices</t>
  </si>
  <si>
    <t>R&amp;M Communications Controllers</t>
  </si>
  <si>
    <t>Repair &amp; Maint Terminal Device</t>
  </si>
  <si>
    <t>Repair &amp; Maintenance Vehicles</t>
  </si>
  <si>
    <t>R&amp;M Vehicles Non Contracted</t>
  </si>
  <si>
    <t>R&amp;M Tractor Mower Oth Equip</t>
  </si>
  <si>
    <t>Repair/Maint Svcs Facil/Equip</t>
  </si>
  <si>
    <t>Budget Material Supplies Restr</t>
  </si>
  <si>
    <t>Resale Misc Purchase</t>
  </si>
  <si>
    <t>Resale New Books</t>
  </si>
  <si>
    <t>Resale Textbooks</t>
  </si>
  <si>
    <t>Resale Bus Local Svc</t>
  </si>
  <si>
    <t>Resale General Books</t>
  </si>
  <si>
    <t>Resale Trade Paperbound</t>
  </si>
  <si>
    <t>Resale Magazines</t>
  </si>
  <si>
    <t>Resale DupPaper/Supplies</t>
  </si>
  <si>
    <t>Resale Goods/Services</t>
  </si>
  <si>
    <t>Resale Novelties</t>
  </si>
  <si>
    <t>Resale School Supplies</t>
  </si>
  <si>
    <t>Resale Utility Costs</t>
  </si>
  <si>
    <t>Resale Stationery</t>
  </si>
  <si>
    <t>Resale Tobacco &amp; Candy</t>
  </si>
  <si>
    <t>Resale Greeting Cards</t>
  </si>
  <si>
    <t>Resale Food/Beverages</t>
  </si>
  <si>
    <t>Resale Clothing</t>
  </si>
  <si>
    <t>Resale Jewelry</t>
  </si>
  <si>
    <t>Resale Computer Parts</t>
  </si>
  <si>
    <t>Resale Phone Local Service</t>
  </si>
  <si>
    <t>Resale LocSvc NonRecur Voice</t>
  </si>
  <si>
    <t>Resale Phone Long Distance</t>
  </si>
  <si>
    <t>Supplies Office</t>
  </si>
  <si>
    <t>Supplies Print/Copy</t>
  </si>
  <si>
    <t>Equip Office/Other Expendable</t>
  </si>
  <si>
    <t>Information Technology Supply</t>
  </si>
  <si>
    <t>Software Expendable</t>
  </si>
  <si>
    <t>Computer Equip &lt;1000</t>
  </si>
  <si>
    <t>Computer Periph Equip &lt;1000</t>
  </si>
  <si>
    <t>Equip Computer/IT Expendable</t>
  </si>
  <si>
    <t>Aud/Vis/Photo/Print Supplies</t>
  </si>
  <si>
    <t>Equip Audio/Visual Expendable</t>
  </si>
  <si>
    <t>Equip Athletic Expendable</t>
  </si>
  <si>
    <t>Motor Vehicles Expendable</t>
  </si>
  <si>
    <t>Ed Equip Misc Expense</t>
  </si>
  <si>
    <t>Musical Instruments Expendable</t>
  </si>
  <si>
    <t>Ed S Lab/Chem (No Glass)</t>
  </si>
  <si>
    <t>Ed S Demurrage Charges</t>
  </si>
  <si>
    <t>Ed S Glassware</t>
  </si>
  <si>
    <t>Equip Lab/Medical Expendable</t>
  </si>
  <si>
    <t>Supplies Educational</t>
  </si>
  <si>
    <t>Book&lt;250 Publication Reprint</t>
  </si>
  <si>
    <t>Ed S Other Instr Supplies</t>
  </si>
  <si>
    <t>Supplies Lab/Medical Other</t>
  </si>
  <si>
    <t>Supplies Lab/Medical Drugs</t>
  </si>
  <si>
    <t>Supplies Landscaping</t>
  </si>
  <si>
    <t>Supplies Lab/Medical Animal</t>
  </si>
  <si>
    <t>Food Products/Services</t>
  </si>
  <si>
    <t>Recruiting Meals</t>
  </si>
  <si>
    <t>Food Svc Equip &lt;1000</t>
  </si>
  <si>
    <t>Bedding and Textile Supplies</t>
  </si>
  <si>
    <t>Uniforms/Clothing Non Employee</t>
  </si>
  <si>
    <t>Player Supplies</t>
  </si>
  <si>
    <t>Linen</t>
  </si>
  <si>
    <t>Uniforms/Clothing Employee</t>
  </si>
  <si>
    <t>Equip Maintenance Expendable</t>
  </si>
  <si>
    <t>Janitorial Chemical Supplies</t>
  </si>
  <si>
    <t>Janitorial Facilities Supplies</t>
  </si>
  <si>
    <t>Janitorial Equip&lt;1000 Facilit</t>
  </si>
  <si>
    <t>Janitorial Paper Good Supplies</t>
  </si>
  <si>
    <t>Maint. Heating Supplies Other</t>
  </si>
  <si>
    <t>Supplies Janitorial</t>
  </si>
  <si>
    <t>Minor Tools</t>
  </si>
  <si>
    <t>Supplies Maintenance</t>
  </si>
  <si>
    <t>Gas/Fuel/Lube Fuel Oil No 6</t>
  </si>
  <si>
    <t>Gas/Fuel/Lube Fuel Oil No 2</t>
  </si>
  <si>
    <t>Gas/Fuel/Lube LP Gas</t>
  </si>
  <si>
    <t>Supplies Lab/Medical Gas/Chem</t>
  </si>
  <si>
    <t>Gasoline/Fuel/Lubricants</t>
  </si>
  <si>
    <t>Gas/Fuel/Lube Motor</t>
  </si>
  <si>
    <t>Gas/Fuel/Lube Diesel Fuel</t>
  </si>
  <si>
    <t>Gas/Fuel/Lube Lubricants</t>
  </si>
  <si>
    <t>Gas/Fuel/Lube Kerosene</t>
  </si>
  <si>
    <t>Non Travel Reimbursements</t>
  </si>
  <si>
    <t>Other Supplies</t>
  </si>
  <si>
    <t>Music/Theater Material Supply</t>
  </si>
  <si>
    <t>Passport Materials Expense</t>
  </si>
  <si>
    <t>Postal Metered Mail</t>
  </si>
  <si>
    <t>Postal International</t>
  </si>
  <si>
    <t>Postal UPS Charges</t>
  </si>
  <si>
    <t>Postal Mail Prep</t>
  </si>
  <si>
    <t>Postal Presort</t>
  </si>
  <si>
    <t>Postal Standard</t>
  </si>
  <si>
    <t>Postal Bus Reply Returned Mail</t>
  </si>
  <si>
    <t>Postal Due UnderPd Mail Chrgs</t>
  </si>
  <si>
    <t>Postal Shipping/Delivery</t>
  </si>
  <si>
    <t>Freight/Shipping</t>
  </si>
  <si>
    <t>Budget Other Expense Restrict</t>
  </si>
  <si>
    <t>Insurance Automobile NonE&amp;G</t>
  </si>
  <si>
    <t>Insurance Watercraft</t>
  </si>
  <si>
    <t>Insurance Liab General NonE&amp;G</t>
  </si>
  <si>
    <t>Insurance Liab Professional</t>
  </si>
  <si>
    <t>Insurance Property Elective</t>
  </si>
  <si>
    <t>Managed Care Insurance</t>
  </si>
  <si>
    <t>Insurance Workers Comp NonE&amp;G</t>
  </si>
  <si>
    <t>Insurance Property Mandatory</t>
  </si>
  <si>
    <t>Insurance Liab Civ Rts NonE&amp;G</t>
  </si>
  <si>
    <t>Surety Fidelity &amp; Perform Bond</t>
  </si>
  <si>
    <t>Electronic DProcess Insurance</t>
  </si>
  <si>
    <t>Stdnt Aid Health Insurance</t>
  </si>
  <si>
    <t>Insurance Other</t>
  </si>
  <si>
    <t>Insurance Claims Expense</t>
  </si>
  <si>
    <t>Unemployment Compensation</t>
  </si>
  <si>
    <t>Workers/Empl Comp Allocation</t>
  </si>
  <si>
    <t>Relief Acts Non-Rpt IRS F1099</t>
  </si>
  <si>
    <t>Health Benefits</t>
  </si>
  <si>
    <t>Dependent Care Benefits</t>
  </si>
  <si>
    <t>Death Benefits for Dependents</t>
  </si>
  <si>
    <t>Rent Space Fr Oth State Ag</t>
  </si>
  <si>
    <t>Rent Space Fr Oth Gov Unit</t>
  </si>
  <si>
    <t>Rent Building/Space</t>
  </si>
  <si>
    <t>Rent IT Equipment</t>
  </si>
  <si>
    <t>Rent Cellular Phone</t>
  </si>
  <si>
    <t>Rent Copying Equipment</t>
  </si>
  <si>
    <t>Rent Office Furn Equip</t>
  </si>
  <si>
    <t>Rent Vehicles Non Travel</t>
  </si>
  <si>
    <t>Rent Equipment</t>
  </si>
  <si>
    <t>Registration Fee w Non Travel</t>
  </si>
  <si>
    <t>Attorney Fees &amp; Gross Proceeds</t>
  </si>
  <si>
    <t>Subscriptions</t>
  </si>
  <si>
    <t>Recruiting Publications/Svcs</t>
  </si>
  <si>
    <t>Membership Participant Fees</t>
  </si>
  <si>
    <t>Athletic Event Entry Fees</t>
  </si>
  <si>
    <t>Memberships Institutional</t>
  </si>
  <si>
    <t>Memberships Individual</t>
  </si>
  <si>
    <t>Awards</t>
  </si>
  <si>
    <t>Athletics Awards</t>
  </si>
  <si>
    <t>Oth Current Chrgs&amp;Obligations</t>
  </si>
  <si>
    <t>Credit/DB Card Transaction Fee</t>
  </si>
  <si>
    <t>Advances</t>
  </si>
  <si>
    <t>Research Participant Excl MTDC</t>
  </si>
  <si>
    <t>Unallowable Expense Spons Rsch</t>
  </si>
  <si>
    <t>DOE Lender Fee</t>
  </si>
  <si>
    <t>Interest Exp Sallie Mae Loan</t>
  </si>
  <si>
    <t>Stdnt Aid FSU Dept Tuition</t>
  </si>
  <si>
    <t>Sallie Mae Maintenance Fees</t>
  </si>
  <si>
    <t>Perquisites</t>
  </si>
  <si>
    <t>Tickets Admission Fees</t>
  </si>
  <si>
    <t>Fees &amp; Permits</t>
  </si>
  <si>
    <t>Royalties</t>
  </si>
  <si>
    <t>Judgment Interest</t>
  </si>
  <si>
    <t>Judgments &amp; Settlements</t>
  </si>
  <si>
    <t>Other Training</t>
  </si>
  <si>
    <t>Budget Tuition Fees Restrict</t>
  </si>
  <si>
    <t>Stdnt Aid Wvr Grad In St</t>
  </si>
  <si>
    <t>Stdnt Aid Wvr Grad Out of St</t>
  </si>
  <si>
    <t>Aux Scholarship Awards</t>
  </si>
  <si>
    <t>Aux Registration Pmts</t>
  </si>
  <si>
    <t>Aux Out of State Tuition</t>
  </si>
  <si>
    <t>Aux Scholarship Rm &amp; Board</t>
  </si>
  <si>
    <t>Aux Scholarship Books</t>
  </si>
  <si>
    <t>Aux Preseason Practice</t>
  </si>
  <si>
    <t>Aux Ed Aid Canx/Reimbursemts</t>
  </si>
  <si>
    <t>Aux Non Tax Fellowships</t>
  </si>
  <si>
    <t>Aux Out of State Waivers</t>
  </si>
  <si>
    <t>Aux NonresAlien Ed Aid Qualif</t>
  </si>
  <si>
    <t>Aux NonresAlien Ed Aid NonQual</t>
  </si>
  <si>
    <t>Oth Grant Contrib Disburse</t>
  </si>
  <si>
    <t>Aux NonStdnt EdAid PostDc Awrd</t>
  </si>
  <si>
    <t>Student Aid</t>
  </si>
  <si>
    <t>Scholarship Tuition Pmts</t>
  </si>
  <si>
    <t>Out of State Tuition</t>
  </si>
  <si>
    <t>Stdnt Aid Room &amp; Brd Fall/Spr</t>
  </si>
  <si>
    <t>Stdnt Aid Books Fall/Spring</t>
  </si>
  <si>
    <t>Stdnt Aid Athl Holiday Disb</t>
  </si>
  <si>
    <t>Stdnt Aid Cancel/Reimburse</t>
  </si>
  <si>
    <t>Stdnt Aid Fellowship NonTax</t>
  </si>
  <si>
    <t>Contract Grant Ed Aid Awards</t>
  </si>
  <si>
    <t>Fed Loans P&amp;I Canc Death</t>
  </si>
  <si>
    <t>Perkins Student Loan 4% Intrst</t>
  </si>
  <si>
    <t>Perkins Student Loan 3% Intrst</t>
  </si>
  <si>
    <t>Stdnt Aid Wvr Undgrd Out of St</t>
  </si>
  <si>
    <t>Nonduty Stipend Student</t>
  </si>
  <si>
    <t>Loan Cancellations</t>
  </si>
  <si>
    <t>Scholarship Tuition Summer</t>
  </si>
  <si>
    <t>Stdnt Aid Room &amp; Board Summer</t>
  </si>
  <si>
    <t>Stdnt Aid Books Summer</t>
  </si>
  <si>
    <t>Grad Student Matriculation Aux</t>
  </si>
  <si>
    <t>Stdnt Aid Athl Spcl Asst Fd</t>
  </si>
  <si>
    <t>Stdnt Aid Athl Opprtnity Fd</t>
  </si>
  <si>
    <t>Stdnt Aid Food Services</t>
  </si>
  <si>
    <t>Nonduty Stipend PostDoc</t>
  </si>
  <si>
    <t>Nonduty Stipend Foreign</t>
  </si>
  <si>
    <t>Stdnt Aid Foreign</t>
  </si>
  <si>
    <t>Stdnt Aid Scholrship Allowance</t>
  </si>
  <si>
    <t>Perkins Cncl Write Off</t>
  </si>
  <si>
    <t>WriteOff Ed Aid Canx/Reimb</t>
  </si>
  <si>
    <t>WriteOff Fellowships Non-Tax</t>
  </si>
  <si>
    <t>Perkins Cncl Teach Svc Shrg</t>
  </si>
  <si>
    <t>Perkins Cncl Hlth Svc N/Md Tec</t>
  </si>
  <si>
    <t>Perkins Cncl Svc Hi Risk Chld</t>
  </si>
  <si>
    <t>Perkins Cncl Law Enforcement</t>
  </si>
  <si>
    <t>Perkins Cncl Peace Corp/Vista</t>
  </si>
  <si>
    <t>Perkins Cncl Fed 10 15%</t>
  </si>
  <si>
    <t>Cnc Fed P&amp;I Mil 12.5% PR 72</t>
  </si>
  <si>
    <t>Perkins Cncl Fed 15 30%</t>
  </si>
  <si>
    <t>Perkins Cncl Fed Mil 12.5%AF72</t>
  </si>
  <si>
    <t>Perkins Cncl Fed Assigned</t>
  </si>
  <si>
    <t>Perkins Cncl Fed Death</t>
  </si>
  <si>
    <t>Perkins Cncl Fed Disability</t>
  </si>
  <si>
    <t>Perkins Cncl Fed Bankruptcy</t>
  </si>
  <si>
    <t>Cnc Perkin Prn&amp;Int Headstrt</t>
  </si>
  <si>
    <t>Cnc Fed Loans P&amp;I WriteOff</t>
  </si>
  <si>
    <t>G/A Matriculation Fee Waiver</t>
  </si>
  <si>
    <t>Perkins Cncl Pre KchldCarePrg</t>
  </si>
  <si>
    <t>Perkins Cncl SrvAttPubOfOrg</t>
  </si>
  <si>
    <t>Perkins Cncl FireFighter Srv</t>
  </si>
  <si>
    <t>Perkins Cncl TribalUnvFacSrv</t>
  </si>
  <si>
    <t>Perkins Cncl LibSrv</t>
  </si>
  <si>
    <t>Perkins Cncl Spc LangPathSrv</t>
  </si>
  <si>
    <t>Perkins Cncl VADisbDeter</t>
  </si>
  <si>
    <t>Interest Penalty Payment</t>
  </si>
  <si>
    <t>Comp Unit Prog &amp; Admin Exp</t>
  </si>
  <si>
    <t>Equip Excl F&amp;A Expendable</t>
  </si>
  <si>
    <t>Budget OCO</t>
  </si>
  <si>
    <t>Non Library Pub/Book Capital</t>
  </si>
  <si>
    <t>Equip Office/Other Capital</t>
  </si>
  <si>
    <t>CIP Equipment</t>
  </si>
  <si>
    <t>Misc Education Equip Cap</t>
  </si>
  <si>
    <t>Equip Lab/Medical Capital</t>
  </si>
  <si>
    <t>Musical Instruments Capital</t>
  </si>
  <si>
    <t>Equip Athletic Capital</t>
  </si>
  <si>
    <t>Equip Audio/Visual Capital</t>
  </si>
  <si>
    <t>Equip Computer/IT Capital</t>
  </si>
  <si>
    <t>Software Capital</t>
  </si>
  <si>
    <t>Equip Telecom Capital</t>
  </si>
  <si>
    <t>Motor Vehicles Capital</t>
  </si>
  <si>
    <t>Motor Vehicles Other</t>
  </si>
  <si>
    <t>Oth Tangible Personal Property</t>
  </si>
  <si>
    <t>Artwork Capital</t>
  </si>
  <si>
    <t>Modular Buildings Capitalized</t>
  </si>
  <si>
    <t>Equip Maintenance Capital</t>
  </si>
  <si>
    <t>Other Real Property</t>
  </si>
  <si>
    <t>Interest Install Purch/Lease</t>
  </si>
  <si>
    <t>Debt Svc Interest CPU Memory</t>
  </si>
  <si>
    <t>Debt Svc Interest Disk</t>
  </si>
  <si>
    <t>Principal Installment Purchase</t>
  </si>
  <si>
    <t>Debt Svc Principal CPU Memory</t>
  </si>
  <si>
    <t>Debt Svc Principal Disk</t>
  </si>
  <si>
    <t>Debt Svc Principal Tape Device</t>
  </si>
  <si>
    <t>Debt Svc Principal Copiers</t>
  </si>
  <si>
    <t>Principal Capital Lease</t>
  </si>
  <si>
    <t>Budget - Non-Operating</t>
  </si>
  <si>
    <t>Budget FCO</t>
  </si>
  <si>
    <t>CIP Facilities</t>
  </si>
  <si>
    <t>Budget Debt Svc</t>
  </si>
  <si>
    <t>Debt Service Principal</t>
  </si>
  <si>
    <t>Debt Service Interest</t>
  </si>
  <si>
    <t>Univ Bond Admin Fees</t>
  </si>
  <si>
    <t>Budget Intra-Fnd Transf</t>
  </si>
  <si>
    <t>Tfr Out Within FSU Intra Fund</t>
  </si>
  <si>
    <t>Tfr Out Within FSU Inter Fund</t>
  </si>
  <si>
    <t>Tfr Out Mandatory</t>
  </si>
  <si>
    <t>R&amp;R Mandatory Trans w/in FSU</t>
  </si>
  <si>
    <t>Budget Inter-Agn Transf</t>
  </si>
  <si>
    <t>Comp Unit Operating Exp</t>
  </si>
  <si>
    <t>Challenge Grant Trans To BOR</t>
  </si>
  <si>
    <t>Transfer To Primary Gov</t>
  </si>
  <si>
    <t>Budget Inter-Fnd Transf</t>
  </si>
  <si>
    <t>Budget I&amp;S Inter-Agn Transf</t>
  </si>
  <si>
    <t>Budget OH Assessment Intra-Fnd</t>
  </si>
  <si>
    <t>Tfr Out O/H Assess Intra Fund</t>
  </si>
  <si>
    <t>Budget OH Assessment Inter-Fnd</t>
  </si>
  <si>
    <t>Tfr Out O/H Assess Inter Fund</t>
  </si>
  <si>
    <t>Budget Tr GiftFee Match</t>
  </si>
  <si>
    <t>Non Operating Expense Other</t>
  </si>
  <si>
    <t>Budget Indirect Costs</t>
  </si>
  <si>
    <t>Contract &amp; Grant Overhead</t>
  </si>
  <si>
    <t>Budget L4 Indirect Cost</t>
  </si>
  <si>
    <t>Depreciation Expense</t>
  </si>
  <si>
    <t>Gain or Loss on Disposal of FA</t>
  </si>
  <si>
    <t>Unrealized Gains Losses</t>
  </si>
  <si>
    <t>Tfr Out Property</t>
  </si>
  <si>
    <t>Capitalized Exp Offset Mat Sup</t>
  </si>
  <si>
    <t>Capitalized Exp Offset FCO</t>
  </si>
  <si>
    <t>Capitalized Exp Offset OCO</t>
  </si>
  <si>
    <t>Budget - Excluded</t>
  </si>
  <si>
    <t>Budget - Excluded L4</t>
  </si>
  <si>
    <t>HR Payroll Suspense</t>
  </si>
  <si>
    <t>Dummy Account IDB</t>
  </si>
  <si>
    <t>Dummy Account HR</t>
  </si>
  <si>
    <t>Dummy Account SR</t>
  </si>
  <si>
    <t>Dummy Account AP</t>
  </si>
  <si>
    <t>Dummy Account AM</t>
  </si>
  <si>
    <t>Text Value</t>
  </si>
  <si>
    <t>Project (Reformat)</t>
  </si>
  <si>
    <t>Unq_Ref</t>
  </si>
  <si>
    <t>Purchase Description</t>
  </si>
  <si>
    <t>Trans Date</t>
  </si>
  <si>
    <t>Trans Amt</t>
  </si>
  <si>
    <t>Multiple Budgets1</t>
  </si>
  <si>
    <t>Dept</t>
  </si>
  <si>
    <t>Voucher #</t>
  </si>
  <si>
    <t>Comment/Other</t>
  </si>
  <si>
    <t>Reference</t>
  </si>
  <si>
    <t>Conditional Formatting Check</t>
  </si>
  <si>
    <t>Cardholder Name</t>
  </si>
  <si>
    <t>Emp ID</t>
  </si>
  <si>
    <t>Merchant Name</t>
  </si>
  <si>
    <t>Match to Expense Detail</t>
  </si>
  <si>
    <t>Comments</t>
  </si>
  <si>
    <t>Incorrect Charge</t>
  </si>
  <si>
    <t>Unq_ID</t>
  </si>
  <si>
    <t>Reference+ID</t>
  </si>
  <si>
    <t>Supplies Other</t>
  </si>
  <si>
    <t>OPS Pretax Admin Assessment</t>
  </si>
  <si>
    <t>OPS Hlth Ins Employer Contrib</t>
  </si>
  <si>
    <t>Stdnt Aid Discounts</t>
  </si>
  <si>
    <t xml:space="preserve"> Department</t>
  </si>
  <si>
    <t xml:space="preserve"> Fund</t>
  </si>
  <si>
    <t xml:space="preserve"> Project</t>
  </si>
  <si>
    <t xml:space="preserve"> Chartfield 1</t>
  </si>
  <si>
    <t xml:space="preserve"> Chartfield 2</t>
  </si>
  <si>
    <t xml:space="preserve"> Chartfield 3</t>
  </si>
  <si>
    <t>Budget Category</t>
  </si>
  <si>
    <t>Pd. 1</t>
  </si>
  <si>
    <t>Ref_ Pd. 1</t>
  </si>
  <si>
    <t>Pd. 2</t>
  </si>
  <si>
    <t>Ref_ Pd. 2</t>
  </si>
  <si>
    <t>Pd. 3</t>
  </si>
  <si>
    <t>Ref_ Pd. 3</t>
  </si>
  <si>
    <t>Pd. 4</t>
  </si>
  <si>
    <t>Ref_ Pd. 4</t>
  </si>
  <si>
    <t>Pd. 5</t>
  </si>
  <si>
    <t>Ref_ Pd. 5</t>
  </si>
  <si>
    <t>Pd. 6</t>
  </si>
  <si>
    <t>Ref_ Pd. 6</t>
  </si>
  <si>
    <t>Pd. 7</t>
  </si>
  <si>
    <t>Ref_ Pd. 7</t>
  </si>
  <si>
    <t>Pd. 8</t>
  </si>
  <si>
    <t>Ref_ Pd. 8</t>
  </si>
  <si>
    <t>Pd. 9</t>
  </si>
  <si>
    <t>Ref_ Pd. 9</t>
  </si>
  <si>
    <t>Pd. 10</t>
  </si>
  <si>
    <t>Ref_ Pd. 10</t>
  </si>
  <si>
    <t>Pd. 11</t>
  </si>
  <si>
    <t>Ref_ Pd. 11</t>
  </si>
  <si>
    <t>Pd. 12</t>
  </si>
  <si>
    <t>Ref_ Pd. 12</t>
  </si>
  <si>
    <t>Total</t>
  </si>
  <si>
    <t>Total Remaining</t>
  </si>
  <si>
    <t>Projected Expenses</t>
  </si>
  <si>
    <t>Graduate Fringe Benefits</t>
  </si>
  <si>
    <t>Non Library Pub/Book Exp</t>
  </si>
  <si>
    <t>Loan Disbursements_Agency_Fnds</t>
  </si>
  <si>
    <t>Bad Debt Expense</t>
  </si>
  <si>
    <t>Project Dept</t>
  </si>
  <si>
    <t>Sponsor</t>
  </si>
  <si>
    <t>Description</t>
  </si>
  <si>
    <t>Ref Awd #</t>
  </si>
  <si>
    <t>Award PI</t>
  </si>
  <si>
    <t>Proj Begin Date</t>
  </si>
  <si>
    <t>Proj End Date</t>
  </si>
  <si>
    <t>Current Status Descr</t>
  </si>
  <si>
    <t>FA Rate %</t>
  </si>
  <si>
    <t>FA Base</t>
  </si>
  <si>
    <t>CFDA</t>
  </si>
  <si>
    <t>Projected Expense Description</t>
  </si>
  <si>
    <t>Reviewer Comments</t>
  </si>
  <si>
    <t>ER Lookup and Format</t>
  </si>
  <si>
    <t>Travel Concat</t>
  </si>
  <si>
    <t>Link Formula</t>
  </si>
  <si>
    <t>Custom Link Name</t>
  </si>
  <si>
    <t>Other</t>
  </si>
  <si>
    <t>PI:</t>
  </si>
  <si>
    <t>Project:</t>
  </si>
  <si>
    <t>Sponsor:</t>
  </si>
  <si>
    <t>Begin:</t>
  </si>
  <si>
    <t>End:</t>
  </si>
  <si>
    <t>Budget</t>
  </si>
  <si>
    <t>Pending</t>
  </si>
  <si>
    <t>Paid</t>
  </si>
  <si>
    <t>Balance</t>
  </si>
  <si>
    <t>Total Salary, Wages, and Fringe Benefits (A+B)</t>
  </si>
  <si>
    <t>Section C-Equipment</t>
  </si>
  <si>
    <t>(No F&amp;A)</t>
  </si>
  <si>
    <t>Section D-Travel</t>
  </si>
  <si>
    <t>Domestic</t>
  </si>
  <si>
    <t>International</t>
  </si>
  <si>
    <t>Section E-Other Direct Costs</t>
  </si>
  <si>
    <t>1. Tuition</t>
  </si>
  <si>
    <t>2. Materials and Supplies</t>
  </si>
  <si>
    <t>Section G-F&amp;A Costs</t>
  </si>
  <si>
    <t>Federal Base: Excludes: Equipment, Rent, Tuition, Scholarship &amp; Fellowships</t>
  </si>
  <si>
    <t>DIRECT COST RECONCILIATION</t>
  </si>
  <si>
    <t>Ending OMNI Budget</t>
  </si>
  <si>
    <t>OMNI Posted Expenses</t>
  </si>
  <si>
    <t>OMNI Encumbrances</t>
  </si>
  <si>
    <t>Ending OMNI Balance</t>
  </si>
  <si>
    <t>Available Balance</t>
  </si>
  <si>
    <t>Variance</t>
  </si>
  <si>
    <t>INDIRECT COST RECONCILIATION</t>
  </si>
  <si>
    <t>Contract</t>
  </si>
  <si>
    <t>Concat</t>
  </si>
  <si>
    <t>Section Name</t>
  </si>
  <si>
    <t>Financial Query</t>
  </si>
  <si>
    <t>Z_UNBILLABLE_ITEMS</t>
  </si>
  <si>
    <t>SALARIES</t>
  </si>
  <si>
    <t>FRINGE BENEFITS</t>
  </si>
  <si>
    <t>OTHER PERSONEL SERVI</t>
  </si>
  <si>
    <t>MATERIALS AND SUPPL</t>
  </si>
  <si>
    <t>CONSULTANTS</t>
  </si>
  <si>
    <t>Consultant Services</t>
  </si>
  <si>
    <t>EDUCATIONAL AIDS</t>
  </si>
  <si>
    <t>Publication Costs</t>
  </si>
  <si>
    <t>PUBLICATION AND DUPL</t>
  </si>
  <si>
    <t>OTHER DIRECT COST</t>
  </si>
  <si>
    <t>TRAVEL</t>
  </si>
  <si>
    <t>FREIGHT</t>
  </si>
  <si>
    <t>Materials and Supplies</t>
  </si>
  <si>
    <t>Equipment</t>
  </si>
  <si>
    <t>Rent</t>
  </si>
  <si>
    <t>RENT</t>
  </si>
  <si>
    <t>Tuition</t>
  </si>
  <si>
    <t>TUITION</t>
  </si>
  <si>
    <t>EQUIPMENT</t>
  </si>
  <si>
    <t>INDIRECT COST</t>
  </si>
  <si>
    <t>SR Type</t>
  </si>
  <si>
    <t>Base2</t>
  </si>
  <si>
    <t>Senior Personnel</t>
  </si>
  <si>
    <t>Name of Reconciler</t>
  </si>
  <si>
    <t>Reconciliation Period</t>
  </si>
  <si>
    <t>General Info, PI, Location, Approvals, Attachments, etc.</t>
  </si>
  <si>
    <t>Award Info, Funding, Certifications, Milestones, etc.</t>
  </si>
  <si>
    <t>Project team effort commitments.</t>
  </si>
  <si>
    <t>Key Personnel-Salary</t>
  </si>
  <si>
    <t>Other Personnel-Salary</t>
  </si>
  <si>
    <t>Section F-Direct Costs (A through E)</t>
  </si>
  <si>
    <t>Stipends</t>
  </si>
  <si>
    <t>FY_pd Combo</t>
  </si>
  <si>
    <t>concat</t>
  </si>
  <si>
    <t>Ref_pd.1B</t>
  </si>
  <si>
    <t>Ref_ Pd. 2B</t>
  </si>
  <si>
    <t>Ref_ Pd. 3B</t>
  </si>
  <si>
    <t>Ref_ Pd. 4B</t>
  </si>
  <si>
    <t>Ref_ Pd. 5B</t>
  </si>
  <si>
    <t>Ref_ Pd. 6B</t>
  </si>
  <si>
    <t>Ref_ Pd. 7B</t>
  </si>
  <si>
    <t>Ref_ Pd. 8B</t>
  </si>
  <si>
    <t>Ref_ Pd. 9B</t>
  </si>
  <si>
    <t>Ref_ Pd. 10B</t>
  </si>
  <si>
    <t>Ref_ Pd. 11B</t>
  </si>
  <si>
    <t>Ref_ Pd. 12B</t>
  </si>
  <si>
    <t>FSU_SP_CA_PROJ_DEPT</t>
  </si>
  <si>
    <t>FSU_SP_GM_CUMUL_PROJ_BUD2</t>
  </si>
  <si>
    <t>Item</t>
  </si>
  <si>
    <t>Res Category</t>
  </si>
  <si>
    <t>Cumul Amount</t>
  </si>
  <si>
    <t>Direct Costs</t>
  </si>
  <si>
    <t>Facilities and Administrative</t>
  </si>
  <si>
    <t>Other Direct Costs</t>
  </si>
  <si>
    <t>Subrecipients</t>
  </si>
  <si>
    <t>Professional Services</t>
  </si>
  <si>
    <t>Supplies</t>
  </si>
  <si>
    <t>Travel</t>
  </si>
  <si>
    <t>Graduate Student Salaries</t>
  </si>
  <si>
    <t>Computer Services</t>
  </si>
  <si>
    <t>Publications</t>
  </si>
  <si>
    <t>OPS</t>
  </si>
  <si>
    <t>Undergraduate Student Salaries</t>
  </si>
  <si>
    <t>Other Participant Support Cost</t>
  </si>
  <si>
    <t>Partic. Support Stipends</t>
  </si>
  <si>
    <t>Partic. Support Travel</t>
  </si>
  <si>
    <t>Participant Support</t>
  </si>
  <si>
    <t xml:space="preserve">Descr. </t>
  </si>
  <si>
    <t>Lookup</t>
  </si>
  <si>
    <t>Category</t>
  </si>
  <si>
    <t>Section H-Total Direct and F&amp;A Costs (F+G)</t>
  </si>
  <si>
    <t>Key Personnel</t>
  </si>
  <si>
    <t>Other Personnel</t>
  </si>
  <si>
    <t>The values below should be 0. If any are not, please check your crosswalks and make sure that all of the required data has been added to the workbook.</t>
  </si>
  <si>
    <t xml:space="preserve">Budget </t>
  </si>
  <si>
    <t>Encumbrances</t>
  </si>
  <si>
    <t>Expenses</t>
  </si>
  <si>
    <t>Project2</t>
  </si>
  <si>
    <t>Combo</t>
  </si>
  <si>
    <t>ORP_MTCH</t>
  </si>
  <si>
    <t>12_MO_FAC</t>
  </si>
  <si>
    <t>9_MO_FAC</t>
  </si>
  <si>
    <t>AP_SALARY</t>
  </si>
  <si>
    <t>USPS_SAL</t>
  </si>
  <si>
    <t>S_SS_MTCH</t>
  </si>
  <si>
    <t>S_MEDICARE</t>
  </si>
  <si>
    <t>DB_RETRMT</t>
  </si>
  <si>
    <t>P_TX_ASSES</t>
  </si>
  <si>
    <t>HLTH_CNTRB</t>
  </si>
  <si>
    <t>ST_LIFE_C</t>
  </si>
  <si>
    <t>PEORP_MTCH</t>
  </si>
  <si>
    <t>OPS_FAC</t>
  </si>
  <si>
    <t>O_MEDICARE</t>
  </si>
  <si>
    <t>CELL_ALLOW</t>
  </si>
  <si>
    <t>P_DOC_ASSC</t>
  </si>
  <si>
    <t>GRAD_ASST</t>
  </si>
  <si>
    <t>OPS_PRETAX</t>
  </si>
  <si>
    <t>OPS_HLTHIN</t>
  </si>
  <si>
    <t>TEMP_EMPL</t>
  </si>
  <si>
    <t>OPS_SS_M</t>
  </si>
  <si>
    <t>STDNT_EMPL</t>
  </si>
  <si>
    <t>Custom SR Type</t>
  </si>
  <si>
    <t>Custom Budget Category</t>
  </si>
  <si>
    <t>Cost Share?</t>
  </si>
  <si>
    <t>Proj Count</t>
  </si>
  <si>
    <t>Proj Count2</t>
  </si>
  <si>
    <t>Formatted Project</t>
  </si>
  <si>
    <t>Project &amp; Fund</t>
  </si>
  <si>
    <t>Name</t>
  </si>
  <si>
    <t>Empl Id</t>
  </si>
  <si>
    <t>Job Effdt</t>
  </si>
  <si>
    <t>Dept Id</t>
  </si>
  <si>
    <t>Job Code</t>
  </si>
  <si>
    <t>Posn Nbr</t>
  </si>
  <si>
    <t>St at</t>
  </si>
  <si>
    <t>Class</t>
  </si>
  <si>
    <t>FLSA Stat</t>
  </si>
  <si>
    <t>Comp Rate</t>
  </si>
  <si>
    <t>FTE</t>
  </si>
  <si>
    <t>Funding BegDt</t>
  </si>
  <si>
    <t>Funding EndDt</t>
  </si>
  <si>
    <t>Dist %</t>
  </si>
  <si>
    <t>Amount Encumbered</t>
  </si>
  <si>
    <t>Commitment Control Document Id</t>
  </si>
  <si>
    <t>Combo Code</t>
  </si>
  <si>
    <t>GL Account Desc</t>
  </si>
  <si>
    <t>GL Account</t>
  </si>
  <si>
    <t>Position</t>
  </si>
  <si>
    <t>GL Category</t>
  </si>
  <si>
    <t>SALS/OPS</t>
  </si>
  <si>
    <t>Project Team EmplID</t>
  </si>
  <si>
    <t>Project PI/Co-PI Name</t>
  </si>
  <si>
    <t>Project Role</t>
  </si>
  <si>
    <t>https://financials.omni.fsu.edu/psp/sprdfi/EMPLOYEE/ERP/c/AUDIT_EXPENSE_FUNCTIONS.TE_EXP_SHEET_INQ.GBL?SHEET_ID=</t>
  </si>
  <si>
    <t>&amp;PAGE=EX_SHEET_ENTRY</t>
  </si>
  <si>
    <t>https://docmgmt.its.fsu.edu/NolijWeb/public/apiLoginCheck.jsp?redir=../documentviewer/%3FdocumentId%3D</t>
  </si>
  <si>
    <t>https://financials.omni.fsu.edu/psp/sprdfi_1/EMPLOYEE/ERP/c/ENTER_VOUCHER_INFORMATION.VCHR_EXPRESS.GBL?Page=VCHR_EXPRESS1&amp;Action=U&amp;BUSINESS_UNIT=FSU01&amp;VOUCHER_ID=</t>
  </si>
  <si>
    <t>&amp;TargetFrameName=None</t>
  </si>
  <si>
    <t>Voucher Concat</t>
  </si>
  <si>
    <t>8. Rent</t>
  </si>
  <si>
    <t>Encumbered</t>
  </si>
  <si>
    <t>10. Other</t>
  </si>
  <si>
    <t>Reviewer and Date</t>
  </si>
  <si>
    <t>Unallow Exp C&amp;G Non-Payroll</t>
  </si>
  <si>
    <t>Svcs Prof IT/Network</t>
  </si>
  <si>
    <t>Life Insurance Contrib</t>
  </si>
  <si>
    <t>Social Security Match- Faculty</t>
  </si>
  <si>
    <t>Medicare Match - Faculty</t>
  </si>
  <si>
    <t>ORP Def Cont Match - Faculty</t>
  </si>
  <si>
    <t>Social Security Match - USPS</t>
  </si>
  <si>
    <t>Medicare Match - USPS</t>
  </si>
  <si>
    <t>PEORP Def Cont Match - USPS</t>
  </si>
  <si>
    <t>Def Ben Retire Match - Faculty</t>
  </si>
  <si>
    <t>Social Security Match - A&amp;P</t>
  </si>
  <si>
    <t>Medicare Match - A&amp;P</t>
  </si>
  <si>
    <t>Def Ben Retire Match - A&amp;P</t>
  </si>
  <si>
    <t>ORP Def Cont Match - A&amp;P</t>
  </si>
  <si>
    <t>Pretax Admin Assess - A&amp;P</t>
  </si>
  <si>
    <t>Health Ins Cont - A&amp;P</t>
  </si>
  <si>
    <t>State Life Ins Cont - A&amp;P</t>
  </si>
  <si>
    <t>Def Ben Retire Match - USPS</t>
  </si>
  <si>
    <t>Pretax Admin Assess - USPS</t>
  </si>
  <si>
    <t>Health Ins Cont - USPS</t>
  </si>
  <si>
    <t>State Life Ins Cont - USPS</t>
  </si>
  <si>
    <t>Svcs Prof Scientific Rsch/Anal</t>
  </si>
  <si>
    <t>Svcs Prof Security</t>
  </si>
  <si>
    <t>PEORP Def Cont Match - A&amp;P</t>
  </si>
  <si>
    <t>Svcs Prof Mgmt/Marketing</t>
  </si>
  <si>
    <t>Pretax Admin Assess - Faculty</t>
  </si>
  <si>
    <t>Health Ins Cont - Faculty</t>
  </si>
  <si>
    <t>State Life Ins Cont - Faculty</t>
  </si>
  <si>
    <t>Engineering General Revenue</t>
  </si>
  <si>
    <t>Ad/Promotional Goods</t>
  </si>
  <si>
    <t>Ad/Promotional Services</t>
  </si>
  <si>
    <t>Rent Equipment Other</t>
  </si>
  <si>
    <t>Lab Use Fees</t>
  </si>
  <si>
    <t>Supplies Audio/Visual</t>
  </si>
  <si>
    <t>Svcs Other Manual/Day Labor</t>
  </si>
  <si>
    <t>Parking/Transportation Svcs</t>
  </si>
  <si>
    <t>Stdnt Aid Other</t>
  </si>
  <si>
    <t>Svcs Prof Engineering</t>
  </si>
  <si>
    <t>Trf Out Non-Exch w/in FSU</t>
  </si>
  <si>
    <t>Supplies Music/Theater</t>
  </si>
  <si>
    <t>GR-Reimbursable Eng</t>
  </si>
  <si>
    <t>Project Available Balance Report</t>
  </si>
  <si>
    <t>E&amp;G Balance Report</t>
  </si>
  <si>
    <t>Auxiliary Enterprises</t>
  </si>
  <si>
    <t>Mechanical Engineering</t>
  </si>
  <si>
    <t>Designated-Student Fees</t>
  </si>
  <si>
    <t>Mechanical Start Up Funding 3</t>
  </si>
  <si>
    <t>Engineering Carryforward</t>
  </si>
  <si>
    <t>COE,Mechanical-FAMU Payroll</t>
  </si>
  <si>
    <t>Mech Engineering Lab</t>
  </si>
  <si>
    <t>Mechanical Start Up Funding 4</t>
  </si>
  <si>
    <t>Mechanical Start Up Funding 2</t>
  </si>
  <si>
    <t>Startup Funding Shangchao Lin</t>
  </si>
  <si>
    <t>Industrial &amp; Manufacturing Eng</t>
  </si>
  <si>
    <t>COE,Industrial-FAMU Payroll</t>
  </si>
  <si>
    <t>Industrial Start Up Funding</t>
  </si>
  <si>
    <t>Electrical &amp; Computer Engineer</t>
  </si>
  <si>
    <t>COE,Electrical-FAMU Payroll</t>
  </si>
  <si>
    <t>Electrical Start Up Funding 3</t>
  </si>
  <si>
    <t>Electrical Start Up Funding 2</t>
  </si>
  <si>
    <t>Engineering Vending</t>
  </si>
  <si>
    <t>Designated-Concessions</t>
  </si>
  <si>
    <t>Engineering Technology Fee</t>
  </si>
  <si>
    <t>Designated-Technology Fee</t>
  </si>
  <si>
    <t>Diversity &amp; Inclusion</t>
  </si>
  <si>
    <t>COE,Dean-FAMU Payroll</t>
  </si>
  <si>
    <t>Engineering Machine Shop</t>
  </si>
  <si>
    <t>Engineering Dean's Reserve</t>
  </si>
  <si>
    <t>Civil Start Up Funding 3</t>
  </si>
  <si>
    <t>Civil Start Up Funding 2</t>
  </si>
  <si>
    <t>Civil Start Up Funding</t>
  </si>
  <si>
    <t>COE,CIvil-FAMU Payroll</t>
  </si>
  <si>
    <t>Chemical Engineering</t>
  </si>
  <si>
    <t>Chemical Start Up Funding 2</t>
  </si>
  <si>
    <t>COE,Chemical-FAMU Payroll</t>
  </si>
  <si>
    <t>Chemical Start Up Funding 5</t>
  </si>
  <si>
    <t>Chemical Start Up Funding 4</t>
  </si>
  <si>
    <t>Chemical Start Up Funding 3</t>
  </si>
  <si>
    <t>Chemical Start Up Funding</t>
  </si>
  <si>
    <t>Challenger Learning Center</t>
  </si>
  <si>
    <t>COE,Challenger-FAMU Payroll</t>
  </si>
  <si>
    <t>% Av Bal</t>
  </si>
  <si>
    <t>KK Expense Amount</t>
  </si>
  <si>
    <t>Encumbrance Amount</t>
  </si>
  <si>
    <t>Budget Amount</t>
  </si>
  <si>
    <t>Detail Id</t>
  </si>
  <si>
    <t>Budgetary Account</t>
  </si>
  <si>
    <t>Budget Manager</t>
  </si>
  <si>
    <t>DDDHC</t>
  </si>
  <si>
    <t>Area</t>
  </si>
  <si>
    <t>School</t>
  </si>
  <si>
    <t>Division</t>
  </si>
  <si>
    <t>Group</t>
  </si>
  <si>
    <t>GL Account Descr</t>
  </si>
  <si>
    <t>Budgetary Account Descr</t>
  </si>
  <si>
    <t>Sub-Budgetary Account</t>
  </si>
  <si>
    <t>Sub-Budgetary Account Descr</t>
  </si>
  <si>
    <t>Budget Faculty</t>
  </si>
  <si>
    <t>A&amp;P Comp Payout</t>
  </si>
  <si>
    <t>Budget Other Salary</t>
  </si>
  <si>
    <t>A&amp;P Overtime</t>
  </si>
  <si>
    <t>Disability Ins Contrib</t>
  </si>
  <si>
    <t>Budget Faculty Benefits</t>
  </si>
  <si>
    <t>PEORP Def Cont Match - Faculty</t>
  </si>
  <si>
    <t>State Disab Ins Cont - Faculty</t>
  </si>
  <si>
    <t>Add'l Deferred Comp - A&amp;P</t>
  </si>
  <si>
    <t>State Disab Ins Cont - A&amp;P</t>
  </si>
  <si>
    <t>Tchrs Retire Match - USPS</t>
  </si>
  <si>
    <t>ORP Def Cont Match - USPS</t>
  </si>
  <si>
    <t>Add'l Deferred Comp - USPS</t>
  </si>
  <si>
    <t>State Disab Ins Cont - USPS</t>
  </si>
  <si>
    <t>Salary Reimb-USPS Overtime</t>
  </si>
  <si>
    <t>Unallow Exp C&amp;G Fac Wages</t>
  </si>
  <si>
    <t>Unallow Exp C&amp;G Fac Benefits</t>
  </si>
  <si>
    <t>Pension Expense</t>
  </si>
  <si>
    <t>Budget OPS-Graduate Assistants</t>
  </si>
  <si>
    <t>Budget OPS-Post Doc Associates</t>
  </si>
  <si>
    <t>Budget OPS-OPS Faculty</t>
  </si>
  <si>
    <t>Budget OPS-Temporary Employmnt</t>
  </si>
  <si>
    <t>Budget OPS-Other OPS</t>
  </si>
  <si>
    <t>Budget OPS-Student Employment</t>
  </si>
  <si>
    <t>Budget OPS-OPS Fringe Benefits</t>
  </si>
  <si>
    <t>Regional Data Center</t>
  </si>
  <si>
    <t>Salary Incentive CJIP</t>
  </si>
  <si>
    <t>Risk Mgmt Insurance</t>
  </si>
  <si>
    <t>Social Security Match CJP A&amp;P</t>
  </si>
  <si>
    <t>Medicare CJP A&amp;P</t>
  </si>
  <si>
    <t>Def Ben Retire Match CJP A&amp;P</t>
  </si>
  <si>
    <t>ORP Def Cont Match CJP A&amp;P</t>
  </si>
  <si>
    <t>PEORP Def Cont Match CJP A&amp;P</t>
  </si>
  <si>
    <t>Social Security Match CJP USPS</t>
  </si>
  <si>
    <t>Medicare CJP USPS</t>
  </si>
  <si>
    <t>Def Ben Retire Match CJP USPS</t>
  </si>
  <si>
    <t>ORP Def Cont Match CJP USPS</t>
  </si>
  <si>
    <t>PEORP Def Cont Match CJP USPS</t>
  </si>
  <si>
    <t>Stdt Financial Aid</t>
  </si>
  <si>
    <t>Fee Waivers</t>
  </si>
  <si>
    <t>Inst of Government</t>
  </si>
  <si>
    <t>Virgil Hawkins Fellowship</t>
  </si>
  <si>
    <t>Expense</t>
  </si>
  <si>
    <t>Budget Exp-Other Exp</t>
  </si>
  <si>
    <t>Budget Exp-Prof/Other Services</t>
  </si>
  <si>
    <t>Svcs Prof Accounting/Auditing</t>
  </si>
  <si>
    <t>Budget Exp-Chartered Travel</t>
  </si>
  <si>
    <t>Svcs Prof Archictecture</t>
  </si>
  <si>
    <t>Svcs Prof Constrct/Renovations</t>
  </si>
  <si>
    <t>Svcs Prof Excl MTDC</t>
  </si>
  <si>
    <t>Svcs Prof Other</t>
  </si>
  <si>
    <t>CAPD Services</t>
  </si>
  <si>
    <t>Athletic Team Building</t>
  </si>
  <si>
    <t>Svcs Prof Laser Lab</t>
  </si>
  <si>
    <t>Svcs Prof Legal</t>
  </si>
  <si>
    <t>Svcs Prof Medical</t>
  </si>
  <si>
    <t>Svcs Other Custodial/Janitor</t>
  </si>
  <si>
    <t>Svcs Prof Audio/Visual</t>
  </si>
  <si>
    <t>Svcs Prof Live Performances</t>
  </si>
  <si>
    <t>Svcs Other Landscaping</t>
  </si>
  <si>
    <t>Svcs Prof Foreign</t>
  </si>
  <si>
    <t>Ad/Promotional Employment</t>
  </si>
  <si>
    <t>Budget Exp-Print/Reproduction</t>
  </si>
  <si>
    <t>Budget Exp-Consumable Supplies</t>
  </si>
  <si>
    <t>Budget Exp-Subrecipient</t>
  </si>
  <si>
    <t>Budget Exp-Travel</t>
  </si>
  <si>
    <t>Budget Exp-Network/Telecom</t>
  </si>
  <si>
    <t>Network/Comm Rsch Compute Ctr</t>
  </si>
  <si>
    <t>Mobile Devices/Svcs-Allowance</t>
  </si>
  <si>
    <t>Budget Exp-Utilities</t>
  </si>
  <si>
    <t>Budget Exp-Repair/Maint-Fac/Eq</t>
  </si>
  <si>
    <t>Budget Exp-Maint IT Software</t>
  </si>
  <si>
    <t>Repair/Maint Svcs Vehicles</t>
  </si>
  <si>
    <t>Budget Exp-Resale Goods/Srvcs</t>
  </si>
  <si>
    <t>Budget Exp-Equip/Oth Supplies</t>
  </si>
  <si>
    <t>Budget Exp-Postal/Freight</t>
  </si>
  <si>
    <t>Budget Exp-Insurance</t>
  </si>
  <si>
    <t>Budget Exp-Financial Aid</t>
  </si>
  <si>
    <t>Budget Exp-Rentals</t>
  </si>
  <si>
    <t>Rent Equipment Copier</t>
  </si>
  <si>
    <t>Stdnt Aid Cost of Attendance</t>
  </si>
  <si>
    <t>OCO</t>
  </si>
  <si>
    <t>Budget OCO-Cap Equip/Supplies</t>
  </si>
  <si>
    <t>Modular Buildings Capital</t>
  </si>
  <si>
    <t>Budget OCO-Real Property</t>
  </si>
  <si>
    <t>Install Purch/Lease Interest</t>
  </si>
  <si>
    <t>Budget OCO-Interest Expense</t>
  </si>
  <si>
    <t>Budget OCO-Leases/Install Prch</t>
  </si>
  <si>
    <t>Budget OCO-Debt Service</t>
  </si>
  <si>
    <t>Budget Transfers</t>
  </si>
  <si>
    <t>Trf Out Debt Service</t>
  </si>
  <si>
    <t>Trf Out FinAid Admin Allowance</t>
  </si>
  <si>
    <t>Trf Out Construction</t>
  </si>
  <si>
    <t>Trf Out O/H Assessment</t>
  </si>
  <si>
    <t>Budget Tr Gift/Fee Match</t>
  </si>
  <si>
    <t>Prepaid Amortization Expense</t>
  </si>
  <si>
    <t>Trf Out Capital Property</t>
  </si>
  <si>
    <t>E&amp;G Type</t>
  </si>
  <si>
    <t>Salaries &amp; Benefits</t>
  </si>
  <si>
    <t>Faculty</t>
  </si>
  <si>
    <t>A&amp;P</t>
  </si>
  <si>
    <t>USPS</t>
  </si>
  <si>
    <t>Other Capital Outlay</t>
  </si>
  <si>
    <t>Transfers</t>
  </si>
  <si>
    <t>Other Exp</t>
  </si>
  <si>
    <t>Prof/Other Services</t>
  </si>
  <si>
    <t>Print/Reproduction</t>
  </si>
  <si>
    <t>Consumable Supplies</t>
  </si>
  <si>
    <t>Subrecipient</t>
  </si>
  <si>
    <t>Network/Telecom</t>
  </si>
  <si>
    <t>Utilities</t>
  </si>
  <si>
    <t>Repair/Maint-Fac/Eq</t>
  </si>
  <si>
    <t>Maint IT Software</t>
  </si>
  <si>
    <t>Resale Goods/Srvcs</t>
  </si>
  <si>
    <t>Equip/Oth Supplies</t>
  </si>
  <si>
    <t>Postal/Freight</t>
  </si>
  <si>
    <t>Insurance</t>
  </si>
  <si>
    <t>Financial Aid</t>
  </si>
  <si>
    <t>Rentals</t>
  </si>
  <si>
    <t>Projected</t>
  </si>
  <si>
    <t>Minus Projected</t>
  </si>
  <si>
    <t>For categorizing on Summary</t>
  </si>
  <si>
    <t>For Projected expenses</t>
  </si>
  <si>
    <t>needed for cell M14 on project summary</t>
  </si>
  <si>
    <t>Needed for E&amp;G summary. 000000 means that there is an error in the lookup to the budgetary account crosswalk</t>
  </si>
  <si>
    <t>Overwrite the SR type</t>
  </si>
  <si>
    <t>Account2</t>
  </si>
  <si>
    <t>Enter expense projections below by accounting period.  Note that you should only project expenses that are not tracked in OMNI.</t>
  </si>
  <si>
    <t>Reconciler Signature and Date</t>
  </si>
  <si>
    <t>Reviewer Signature and Date</t>
  </si>
  <si>
    <t>Fund:</t>
  </si>
  <si>
    <t>LEDGER RECONCILIATION</t>
  </si>
  <si>
    <t>Challenger Learning Center Auxiliary</t>
  </si>
  <si>
    <t>Civil &amp; Environmental Engineering</t>
  </si>
  <si>
    <t>College of Engineering (Dean's Office)</t>
  </si>
  <si>
    <t>Chem Engineering Mat &amp; Supply Fee</t>
  </si>
  <si>
    <t>Engineering Computer &amp; Multimedia Services</t>
  </si>
  <si>
    <t>Engineering Undergrad Acad &amp; Stdt</t>
  </si>
  <si>
    <t>Mechanical Engineering M&amp;S Fee</t>
  </si>
  <si>
    <t>E&amp;G Carryforward</t>
  </si>
  <si>
    <t>E&amp;G Current Year</t>
  </si>
  <si>
    <t>7. Professional Services</t>
  </si>
  <si>
    <t>Minus Encumbered</t>
  </si>
  <si>
    <t>BI &gt; Financial Reports &gt; Available Balance &gt; Drill to Department Detail</t>
  </si>
  <si>
    <t>Equipment &amp; Other Supplies</t>
  </si>
  <si>
    <t>IT Maintenance &amp; Software</t>
  </si>
  <si>
    <t>Other Expenses</t>
  </si>
  <si>
    <t>Printing/Reproduction</t>
  </si>
  <si>
    <t>Professional and Other Services</t>
  </si>
  <si>
    <t>Repairs and Maintenance</t>
  </si>
  <si>
    <t>Resale of Goods and Services</t>
  </si>
  <si>
    <t>Life to Date</t>
  </si>
  <si>
    <t>Current Period</t>
  </si>
  <si>
    <t>Department:</t>
  </si>
  <si>
    <t>Year to Date</t>
  </si>
  <si>
    <t>FOR PROJECT BUDGETS</t>
  </si>
  <si>
    <t>FOR PROJECTED EXPENSES</t>
  </si>
  <si>
    <t>Source of Funds</t>
  </si>
  <si>
    <t>E&amp;G</t>
  </si>
  <si>
    <t>C&amp;G</t>
  </si>
  <si>
    <t>Subawards/Consortium/Contractual Costs</t>
  </si>
  <si>
    <t>BI Transaction Details (Current Period)</t>
  </si>
  <si>
    <t>BI Transaction Details (All Periods)</t>
  </si>
  <si>
    <t>BI HR GL Detail</t>
  </si>
  <si>
    <t>Blackboard P-Card Program</t>
  </si>
  <si>
    <t>Expense Descr</t>
  </si>
  <si>
    <t>Total Direct Remaining</t>
  </si>
  <si>
    <t>Position Number</t>
  </si>
  <si>
    <t>Salary Faculty</t>
  </si>
  <si>
    <t>Salary Clinical Faculty</t>
  </si>
  <si>
    <t>Salary Charter Sch Faculty</t>
  </si>
  <si>
    <t>Salary Nonrecur Fac Bonus-1x</t>
  </si>
  <si>
    <t>Salary Nonrecur Fac Suppl</t>
  </si>
  <si>
    <t>Salary Exec Svc / Athl Coaches</t>
  </si>
  <si>
    <t>Salary Admin &amp; Professional</t>
  </si>
  <si>
    <t>Salary Athl Coach Supplements</t>
  </si>
  <si>
    <t/>
  </si>
  <si>
    <t>Salary USPS</t>
  </si>
  <si>
    <t>Salary Nonrecur Staff Bonus-1x</t>
  </si>
  <si>
    <t>Salary Nonrecur Staff OT-Suppl</t>
  </si>
  <si>
    <t>Faculty Paid Parental Leave</t>
  </si>
  <si>
    <t>C&amp;G Leave Assessments</t>
  </si>
  <si>
    <t>A&amp;P Paid Parental Leave</t>
  </si>
  <si>
    <t>USPS Paid Parental Leave</t>
  </si>
  <si>
    <t>Benefits Faculty</t>
  </si>
  <si>
    <t>Benefits Clinical Faculty</t>
  </si>
  <si>
    <t>Benefits Charter Sch Faculty</t>
  </si>
  <si>
    <t>Benefits Faculty Bonus-1x</t>
  </si>
  <si>
    <t>Benefits Faculty Suppl</t>
  </si>
  <si>
    <t>Benefits Exec Svc / Athl Coach</t>
  </si>
  <si>
    <t>Benefits Admin &amp; Professional</t>
  </si>
  <si>
    <t>Benefits Athl Coach Supplement</t>
  </si>
  <si>
    <t>Benefits USPS</t>
  </si>
  <si>
    <t>Benefits Staff Bonus-1x</t>
  </si>
  <si>
    <t>Benefits Staff OT-Suppl</t>
  </si>
  <si>
    <t>OPEB Expense</t>
  </si>
  <si>
    <t>Wage Graduate Assistants</t>
  </si>
  <si>
    <t>Wage Post Doctorial Assoc</t>
  </si>
  <si>
    <t>Wage Student Employment</t>
  </si>
  <si>
    <t>Wage OPS and Temp</t>
  </si>
  <si>
    <t>Wage Nonrecur OPS Bonus-1x</t>
  </si>
  <si>
    <t>Wage Nonrecur OPS OT-Suppl</t>
  </si>
  <si>
    <t>Benefits Graduate Assistants</t>
  </si>
  <si>
    <t>Benefits Post Doctorial Assoc</t>
  </si>
  <si>
    <t>Benefits Student Employment</t>
  </si>
  <si>
    <t>Benefits OPS and Temp</t>
  </si>
  <si>
    <t>Benefits OPS Bonus-1x</t>
  </si>
  <si>
    <t>Benefits OPS OT-Suppl</t>
  </si>
  <si>
    <t>Svcs Prof Athl Event Security</t>
  </si>
  <si>
    <t>Peer Review/Rsch Board Svc</t>
  </si>
  <si>
    <t>Svcs Prof Athl Speaker/Consult</t>
  </si>
  <si>
    <t>Travel Fndtn Meal In-State</t>
  </si>
  <si>
    <t>Travel Fndtn Meal Out of State</t>
  </si>
  <si>
    <t>Travel Fndtn Meal Foreign</t>
  </si>
  <si>
    <t>Employee Relocation</t>
  </si>
  <si>
    <t>ITS-Professional Services</t>
  </si>
  <si>
    <t>ITS-File Storage/Virtual Compt</t>
  </si>
  <si>
    <t>ITS-Phone Services</t>
  </si>
  <si>
    <t>Campus Access &amp; Security Svcs</t>
  </si>
  <si>
    <t>ITS-Data Circuit Services</t>
  </si>
  <si>
    <t>ITS-Non-Recurring Labor &amp; Mat</t>
  </si>
  <si>
    <t>ITS-Research Computing</t>
  </si>
  <si>
    <t>ITS-Cellphone Services</t>
  </si>
  <si>
    <t>ITS-Managed Port Fees</t>
  </si>
  <si>
    <t>ITS-Software Licensing Svcs</t>
  </si>
  <si>
    <t>ITS-Admin Fees</t>
  </si>
  <si>
    <t>UTL Facilities Managed</t>
  </si>
  <si>
    <t>UTL NonFacilities Managed</t>
  </si>
  <si>
    <t>Food Prod/Svc-Recruiting Meals</t>
  </si>
  <si>
    <t>Food Prod/Svc-Home Competition</t>
  </si>
  <si>
    <t>Food Prod/Svc-Athletic Staff</t>
  </si>
  <si>
    <t>Postal FedEx Charges</t>
  </si>
  <si>
    <t>Stdnt Aid Dept Hlth Insurance</t>
  </si>
  <si>
    <t>Rent Housing</t>
  </si>
  <si>
    <t>Athletic Recruit Event Entry</t>
  </si>
  <si>
    <t>Stdnt Aid Dept Tuition</t>
  </si>
  <si>
    <t>Stdnt Aid Dept Other</t>
  </si>
  <si>
    <t>Stdnt Aid Emergency Relief</t>
  </si>
  <si>
    <t>Empl Emergency Relief-Taxable</t>
  </si>
  <si>
    <t>Empl Disaster Relief-Nontax</t>
  </si>
  <si>
    <t>Stdnt Aid Athl Grad Asst/Mgrs</t>
  </si>
  <si>
    <t>Post Doc Fellow Allowance</t>
  </si>
  <si>
    <t>Post Doc Fellow Book/Material</t>
  </si>
  <si>
    <t>Post Doc Fellow Health Ins</t>
  </si>
  <si>
    <t>Post Doc Fellow Other/Misc</t>
  </si>
  <si>
    <t>Sdnt Aid Foreign SPEAR NRA</t>
  </si>
  <si>
    <t>Funds due FSURF</t>
  </si>
  <si>
    <t>Property Taxes</t>
  </si>
  <si>
    <t>Charitable Contributions</t>
  </si>
  <si>
    <t>Lobbying Expense</t>
  </si>
  <si>
    <t>Prepaid Expense</t>
  </si>
  <si>
    <t>Internal Investment Interest</t>
  </si>
  <si>
    <t>Miscellaneous Deposit</t>
  </si>
  <si>
    <t>Other Asset Capital</t>
  </si>
  <si>
    <t>Land and Other Real Property</t>
  </si>
  <si>
    <t>Freight/Shipping Capital</t>
  </si>
  <si>
    <t>Trf Out E&amp;G</t>
  </si>
  <si>
    <t>Admin Fee - FSU Foundation</t>
  </si>
  <si>
    <t>Investment Expense</t>
  </si>
  <si>
    <t>Budget Staff</t>
  </si>
  <si>
    <t>Budget Staff Benefits</t>
  </si>
  <si>
    <t>Budget OPS-Bonus-1x</t>
  </si>
  <si>
    <t>Budget OPS-OT-Suppl</t>
  </si>
  <si>
    <t>Budget OPS-Grad Asst Benefits</t>
  </si>
  <si>
    <t>Budget OPS-Post Doc Benefits</t>
  </si>
  <si>
    <t>Budget OPS-Student Benefits</t>
  </si>
  <si>
    <t>Budget OPS-Other OPS Benefits</t>
  </si>
  <si>
    <t>Budget OPS-Bonus-1x Benefits</t>
  </si>
  <si>
    <t>Budget OPS-OT-Suppl Benefits</t>
  </si>
  <si>
    <t>Budget Trf Out Construction</t>
  </si>
  <si>
    <t>101381</t>
  </si>
  <si>
    <t>MTDC</t>
  </si>
  <si>
    <t>101381520</t>
  </si>
  <si>
    <t>NO</t>
  </si>
  <si>
    <t>Unallowable</t>
  </si>
  <si>
    <t>Contractual Svcs</t>
  </si>
  <si>
    <t>Other Direct Cost</t>
  </si>
  <si>
    <t>Publication</t>
  </si>
  <si>
    <t>Subawards</t>
  </si>
  <si>
    <t>ADP/Computer Svcs</t>
  </si>
  <si>
    <t>Should not pull into dashboard</t>
  </si>
  <si>
    <t>3. Publication</t>
  </si>
  <si>
    <t>4. Contractual Services</t>
  </si>
  <si>
    <t>5. Subawards</t>
  </si>
  <si>
    <t>6. Participant Support</t>
  </si>
  <si>
    <t>9. ADP/Computer Services</t>
  </si>
  <si>
    <t>Salary Executive Service</t>
  </si>
  <si>
    <t>Salary Athletic Coaches</t>
  </si>
  <si>
    <t>Faculty Paid PaRental Leave</t>
  </si>
  <si>
    <t>A&amp;P Paid PaRental Leave</t>
  </si>
  <si>
    <t>USPS Paid PaRental Leave</t>
  </si>
  <si>
    <t>Tchrs Retire Match - Faculty</t>
  </si>
  <si>
    <t>Add'l Deferred Comp - Faculty</t>
  </si>
  <si>
    <t>Tchrs Retire Match - A&amp;P</t>
  </si>
  <si>
    <t>Budget USPS</t>
  </si>
  <si>
    <t>Budget USPS Benefits</t>
  </si>
  <si>
    <t>Benefits Executive Service</t>
  </si>
  <si>
    <t>Benefits Athletic Coaches</t>
  </si>
  <si>
    <t>Salary Reimb-USPS Base Salary</t>
  </si>
  <si>
    <t>Salary Reimb-USPS Benefits</t>
  </si>
  <si>
    <t>Salary Reimb-A&amp;P Overtime</t>
  </si>
  <si>
    <t>Salary Reimb-A&amp;P Base Salary</t>
  </si>
  <si>
    <t>Salary Reimb-A&amp;P Benefits</t>
  </si>
  <si>
    <t>Salary Reimb-OPS</t>
  </si>
  <si>
    <t>Budget Special Category</t>
  </si>
  <si>
    <t>Patient Care</t>
  </si>
  <si>
    <t>Oth CurRent Chrgs&amp;Obligations</t>
  </si>
  <si>
    <t>Stdnt Aid Dept Nonqualified</t>
  </si>
  <si>
    <t>Budget Transfer Out NonExch</t>
  </si>
  <si>
    <t>Budget Unallocated Balance</t>
  </si>
  <si>
    <t>Budget Addition to Fund Balanc</t>
  </si>
  <si>
    <t>7% Statutory Reserve</t>
  </si>
  <si>
    <t>Contractual Services</t>
  </si>
  <si>
    <t>Animal Costs</t>
  </si>
  <si>
    <t>Communications and Shipping</t>
  </si>
  <si>
    <t>Clerical Salaries</t>
  </si>
  <si>
    <t>Partic. Support Subsistence</t>
  </si>
  <si>
    <t>Trainee Travel</t>
  </si>
  <si>
    <t>Training Related Expense</t>
  </si>
  <si>
    <t>InPatient</t>
  </si>
  <si>
    <t>OutPatient</t>
  </si>
  <si>
    <t>Patient Care Costs</t>
  </si>
  <si>
    <t>Indirect Cost</t>
  </si>
  <si>
    <t>Materials And Supplies</t>
  </si>
  <si>
    <t>Loan Disb Federal Grant</t>
  </si>
  <si>
    <t>Salaries</t>
  </si>
  <si>
    <t>Fringe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</si>
</sst>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 Unicode MS"/>
      <family val="2"/>
    </font>
    <font>
      <sz val="10"/>
      <name val="Arial"/>
      <family val="2"/>
    </font>
    <font>
      <sz val="10"/>
      <color theme="1"/>
      <name val="Times"/>
      <family val="1"/>
    </font>
    <font>
      <b/>
      <sz val="10"/>
      <color theme="1"/>
      <name val="Times"/>
      <family val="1"/>
    </font>
    <font>
      <sz val="10"/>
      <name val="Times"/>
      <family val="1"/>
    </font>
    <font>
      <sz val="11"/>
      <color indexed="8"/>
      <name val="Calibri"/>
      <family val="2"/>
    </font>
    <font>
      <b/>
      <sz val="18"/>
      <color theme="0"/>
      <name val="PT Serif"/>
      <family val="1"/>
    </font>
    <font>
      <b/>
      <sz val="14"/>
      <color theme="1"/>
      <name val="Roboto"/>
    </font>
    <font>
      <b/>
      <sz val="10"/>
      <color theme="1"/>
      <name val="Roboto"/>
    </font>
    <font>
      <sz val="10"/>
      <color theme="1"/>
      <name val="PT Serif"/>
      <family val="1"/>
    </font>
    <font>
      <b/>
      <sz val="10"/>
      <name val="PT Serif"/>
      <family val="1"/>
    </font>
    <font>
      <b/>
      <sz val="10"/>
      <color theme="1"/>
      <name val="PT Serif"/>
      <family val="1"/>
    </font>
    <font>
      <sz val="10"/>
      <name val="PT Serif"/>
      <family val="1"/>
    </font>
    <font>
      <sz val="10"/>
      <color theme="1"/>
      <name val="Roboto"/>
    </font>
    <font>
      <sz val="10"/>
      <name val="Roboto"/>
    </font>
    <font>
      <b/>
      <sz val="10"/>
      <color theme="0"/>
      <name val="PT Serif"/>
      <family val="1"/>
    </font>
    <font>
      <sz val="11"/>
      <color theme="1"/>
      <name val="PT Serif"/>
      <family val="1"/>
    </font>
    <font>
      <sz val="10"/>
      <name val="Arial Unicode MS"/>
      <family val="2"/>
    </font>
    <font>
      <sz val="11"/>
      <color theme="1"/>
      <name val="Garamond"/>
      <family val="1"/>
    </font>
    <font>
      <b/>
      <sz val="10"/>
      <color theme="1"/>
      <name val="Times"/>
    </font>
    <font>
      <b/>
      <sz val="10"/>
      <color theme="1"/>
      <name val="Times New Roman"/>
      <family val="1"/>
    </font>
    <font>
      <b/>
      <sz val="18"/>
      <color theme="0"/>
      <name val="Aptos"/>
      <family val="2"/>
    </font>
    <font>
      <sz val="10"/>
      <color theme="1"/>
      <name val="Aptos"/>
      <family val="2"/>
    </font>
    <font>
      <b/>
      <sz val="16"/>
      <color theme="0"/>
      <name val="Aptos"/>
      <family val="2"/>
    </font>
    <font>
      <b/>
      <sz val="14"/>
      <color theme="1"/>
      <name val="Aptos"/>
      <family val="2"/>
    </font>
    <font>
      <sz val="14"/>
      <color theme="1"/>
      <name val="Aptos"/>
      <family val="2"/>
    </font>
    <font>
      <sz val="11"/>
      <color theme="1"/>
      <name val="Aptos"/>
      <family val="2"/>
    </font>
    <font>
      <b/>
      <sz val="10"/>
      <color theme="0"/>
      <name val="Aptos"/>
      <family val="2"/>
    </font>
    <font>
      <b/>
      <sz val="10"/>
      <name val="Aptos"/>
      <family val="2"/>
    </font>
    <font>
      <b/>
      <sz val="10"/>
      <color theme="1"/>
      <name val="Aptos"/>
      <family val="2"/>
    </font>
    <font>
      <sz val="10"/>
      <name val="Aptos"/>
      <family val="2"/>
    </font>
    <font>
      <sz val="11"/>
      <color theme="0"/>
      <name val="Aptos"/>
      <family val="2"/>
    </font>
    <font>
      <u/>
      <sz val="8"/>
      <color rgb="FF0000FF"/>
      <name val="Aptos"/>
      <family val="2"/>
    </font>
    <font>
      <b/>
      <sz val="11"/>
      <color theme="1"/>
      <name val="Aptos"/>
      <family val="2"/>
    </font>
    <font>
      <i/>
      <sz val="11"/>
      <color theme="1"/>
      <name val="Aptos"/>
      <family val="2"/>
    </font>
    <font>
      <sz val="11"/>
      <color indexed="8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5B78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DC09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862633"/>
        <bgColor indexed="64"/>
      </patternFill>
    </fill>
    <fill>
      <patternFill patternType="solid">
        <fgColor rgb="FF782F40"/>
        <bgColor indexed="64"/>
      </patternFill>
    </fill>
    <fill>
      <patternFill patternType="solid">
        <fgColor rgb="FFCEB888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n">
        <color indexed="64"/>
      </bottom>
      <diagonal/>
    </border>
    <border>
      <left/>
      <right/>
      <top style="thick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3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0" borderId="0"/>
    <xf numFmtId="0" fontId="1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9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9" fillId="0" borderId="0"/>
    <xf numFmtId="0" fontId="57" fillId="0" borderId="0"/>
  </cellStyleXfs>
  <cellXfs count="30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10" xfId="0" applyBorder="1" applyAlignment="1">
      <alignment vertical="top"/>
    </xf>
    <xf numFmtId="0" fontId="0" fillId="35" borderId="0" xfId="0" applyFill="1" applyAlignment="1">
      <alignment vertical="top"/>
    </xf>
    <xf numFmtId="0" fontId="0" fillId="0" borderId="11" xfId="0" applyBorder="1"/>
    <xf numFmtId="14" fontId="0" fillId="0" borderId="0" xfId="0" applyNumberFormat="1" applyAlignment="1">
      <alignment horizontal="center"/>
    </xf>
    <xf numFmtId="0" fontId="0" fillId="36" borderId="0" xfId="0" applyFill="1"/>
    <xf numFmtId="0" fontId="0" fillId="36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3" borderId="0" xfId="0" applyFill="1"/>
    <xf numFmtId="0" fontId="0" fillId="33" borderId="0" xfId="0" applyFill="1" applyAlignment="1">
      <alignment horizontal="center"/>
    </xf>
    <xf numFmtId="44" fontId="36" fillId="40" borderId="17" xfId="0" applyNumberFormat="1" applyFont="1" applyFill="1" applyBorder="1" applyProtection="1"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8" fontId="0" fillId="0" borderId="0" xfId="0" applyNumberFormat="1" applyAlignment="1">
      <alignment horizontal="center" wrapText="1"/>
    </xf>
    <xf numFmtId="0" fontId="24" fillId="0" borderId="0" xfId="0" applyFont="1"/>
    <xf numFmtId="14" fontId="24" fillId="0" borderId="0" xfId="0" applyNumberFormat="1" applyFont="1"/>
    <xf numFmtId="0" fontId="31" fillId="37" borderId="0" xfId="0" applyFont="1" applyFill="1" applyAlignment="1">
      <alignment horizontal="right" vertical="center"/>
    </xf>
    <xf numFmtId="0" fontId="24" fillId="37" borderId="0" xfId="0" applyFont="1" applyFill="1"/>
    <xf numFmtId="42" fontId="24" fillId="37" borderId="0" xfId="0" applyNumberFormat="1" applyFont="1" applyFill="1"/>
    <xf numFmtId="42" fontId="31" fillId="37" borderId="0" xfId="0" applyNumberFormat="1" applyFont="1" applyFill="1" applyAlignment="1">
      <alignment horizontal="right"/>
    </xf>
    <xf numFmtId="43" fontId="35" fillId="0" borderId="0" xfId="0" applyNumberFormat="1" applyFont="1"/>
    <xf numFmtId="0" fontId="31" fillId="37" borderId="0" xfId="0" applyFont="1" applyFill="1"/>
    <xf numFmtId="0" fontId="26" fillId="41" borderId="0" xfId="0" applyFont="1" applyFill="1"/>
    <xf numFmtId="0" fontId="25" fillId="37" borderId="0" xfId="0" applyFont="1" applyFill="1"/>
    <xf numFmtId="0" fontId="34" fillId="37" borderId="15" xfId="0" applyFont="1" applyFill="1" applyBorder="1"/>
    <xf numFmtId="41" fontId="26" fillId="37" borderId="14" xfId="0" applyNumberFormat="1" applyFont="1" applyFill="1" applyBorder="1"/>
    <xf numFmtId="44" fontId="36" fillId="40" borderId="17" xfId="0" applyNumberFormat="1" applyFont="1" applyFill="1" applyBorder="1"/>
    <xf numFmtId="0" fontId="26" fillId="0" borderId="0" xfId="0" applyFont="1"/>
    <xf numFmtId="44" fontId="36" fillId="37" borderId="17" xfId="0" applyNumberFormat="1" applyFont="1" applyFill="1" applyBorder="1"/>
    <xf numFmtId="0" fontId="31" fillId="41" borderId="18" xfId="0" applyFont="1" applyFill="1" applyBorder="1"/>
    <xf numFmtId="0" fontId="24" fillId="41" borderId="19" xfId="0" applyFont="1" applyFill="1" applyBorder="1"/>
    <xf numFmtId="44" fontId="35" fillId="41" borderId="20" xfId="0" applyNumberFormat="1" applyFont="1" applyFill="1" applyBorder="1"/>
    <xf numFmtId="0" fontId="24" fillId="41" borderId="0" xfId="0" applyFont="1" applyFill="1"/>
    <xf numFmtId="42" fontId="24" fillId="41" borderId="0" xfId="0" applyNumberFormat="1" applyFont="1" applyFill="1"/>
    <xf numFmtId="0" fontId="24" fillId="41" borderId="12" xfId="0" applyFont="1" applyFill="1" applyBorder="1"/>
    <xf numFmtId="42" fontId="24" fillId="41" borderId="12" xfId="0" applyNumberFormat="1" applyFont="1" applyFill="1" applyBorder="1"/>
    <xf numFmtId="44" fontId="31" fillId="41" borderId="0" xfId="0" applyNumberFormat="1" applyFont="1" applyFill="1"/>
    <xf numFmtId="0" fontId="31" fillId="41" borderId="0" xfId="0" applyFont="1" applyFill="1"/>
    <xf numFmtId="0" fontId="38" fillId="41" borderId="0" xfId="0" applyFont="1" applyFill="1" applyAlignment="1">
      <alignment horizontal="right"/>
    </xf>
    <xf numFmtId="0" fontId="0" fillId="41" borderId="0" xfId="0" applyFill="1"/>
    <xf numFmtId="42" fontId="24" fillId="0" borderId="0" xfId="0" applyNumberFormat="1" applyFont="1"/>
    <xf numFmtId="22" fontId="0" fillId="0" borderId="0" xfId="0" applyNumberFormat="1"/>
    <xf numFmtId="44" fontId="0" fillId="33" borderId="0" xfId="2124" applyFont="1" applyFill="1"/>
    <xf numFmtId="44" fontId="30" fillId="39" borderId="0" xfId="0" applyNumberFormat="1" applyFont="1" applyFill="1"/>
    <xf numFmtId="43" fontId="30" fillId="39" borderId="0" xfId="0" applyNumberFormat="1" applyFont="1" applyFill="1"/>
    <xf numFmtId="49" fontId="0" fillId="0" borderId="0" xfId="0" applyNumberFormat="1"/>
    <xf numFmtId="0" fontId="40" fillId="0" borderId="0" xfId="0" applyFont="1" applyAlignment="1">
      <alignment horizontal="left"/>
    </xf>
    <xf numFmtId="0" fontId="35" fillId="41" borderId="0" xfId="0" quotePrefix="1" applyFont="1" applyFill="1" applyProtection="1">
      <protection locked="0"/>
    </xf>
    <xf numFmtId="0" fontId="35" fillId="41" borderId="0" xfId="0" applyFont="1" applyFill="1" applyProtection="1">
      <protection locked="0"/>
    </xf>
    <xf numFmtId="0" fontId="33" fillId="42" borderId="0" xfId="0" applyFont="1" applyFill="1"/>
    <xf numFmtId="0" fontId="35" fillId="37" borderId="0" xfId="0" applyFont="1" applyFill="1" applyAlignment="1">
      <alignment horizontal="left" vertical="top"/>
    </xf>
    <xf numFmtId="0" fontId="33" fillId="37" borderId="0" xfId="0" applyFont="1" applyFill="1"/>
    <xf numFmtId="44" fontId="35" fillId="0" borderId="0" xfId="2124" applyFont="1" applyFill="1" applyBorder="1" applyProtection="1"/>
    <xf numFmtId="42" fontId="31" fillId="0" borderId="0" xfId="0" applyNumberFormat="1" applyFont="1"/>
    <xf numFmtId="44" fontId="30" fillId="39" borderId="37" xfId="0" applyNumberFormat="1" applyFont="1" applyFill="1" applyBorder="1"/>
    <xf numFmtId="44" fontId="30" fillId="39" borderId="38" xfId="0" applyNumberFormat="1" applyFont="1" applyFill="1" applyBorder="1"/>
    <xf numFmtId="43" fontId="35" fillId="0" borderId="37" xfId="0" applyNumberFormat="1" applyFont="1" applyBorder="1"/>
    <xf numFmtId="44" fontId="35" fillId="0" borderId="38" xfId="0" applyNumberFormat="1" applyFont="1" applyBorder="1"/>
    <xf numFmtId="43" fontId="30" fillId="39" borderId="37" xfId="0" applyNumberFormat="1" applyFont="1" applyFill="1" applyBorder="1"/>
    <xf numFmtId="0" fontId="24" fillId="43" borderId="37" xfId="0" applyFont="1" applyFill="1" applyBorder="1"/>
    <xf numFmtId="0" fontId="24" fillId="43" borderId="38" xfId="0" applyFont="1" applyFill="1" applyBorder="1"/>
    <xf numFmtId="44" fontId="30" fillId="39" borderId="41" xfId="0" applyNumberFormat="1" applyFont="1" applyFill="1" applyBorder="1"/>
    <xf numFmtId="44" fontId="30" fillId="39" borderId="42" xfId="0" applyNumberFormat="1" applyFont="1" applyFill="1" applyBorder="1"/>
    <xf numFmtId="44" fontId="30" fillId="39" borderId="43" xfId="0" applyNumberFormat="1" applyFont="1" applyFill="1" applyBorder="1"/>
    <xf numFmtId="44" fontId="30" fillId="39" borderId="45" xfId="0" applyNumberFormat="1" applyFont="1" applyFill="1" applyBorder="1"/>
    <xf numFmtId="44" fontId="35" fillId="0" borderId="45" xfId="0" applyNumberFormat="1" applyFont="1" applyBorder="1"/>
    <xf numFmtId="44" fontId="30" fillId="39" borderId="46" xfId="0" applyNumberFormat="1" applyFont="1" applyFill="1" applyBorder="1"/>
    <xf numFmtId="0" fontId="42" fillId="40" borderId="44" xfId="0" applyFont="1" applyFill="1" applyBorder="1" applyAlignment="1" applyProtection="1">
      <alignment vertical="center"/>
      <protection locked="0"/>
    </xf>
    <xf numFmtId="0" fontId="35" fillId="37" borderId="36" xfId="0" applyFont="1" applyFill="1" applyBorder="1" applyAlignment="1">
      <alignment horizontal="left" vertical="top"/>
    </xf>
    <xf numFmtId="0" fontId="31" fillId="37" borderId="37" xfId="0" applyFont="1" applyFill="1" applyBorder="1"/>
    <xf numFmtId="0" fontId="31" fillId="37" borderId="38" xfId="0" applyFont="1" applyFill="1" applyBorder="1"/>
    <xf numFmtId="0" fontId="24" fillId="37" borderId="37" xfId="0" applyFont="1" applyFill="1" applyBorder="1"/>
    <xf numFmtId="0" fontId="33" fillId="42" borderId="37" xfId="0" applyFont="1" applyFill="1" applyBorder="1"/>
    <xf numFmtId="0" fontId="33" fillId="42" borderId="38" xfId="0" applyFont="1" applyFill="1" applyBorder="1"/>
    <xf numFmtId="0" fontId="33" fillId="42" borderId="41" xfId="0" applyFont="1" applyFill="1" applyBorder="1"/>
    <xf numFmtId="0" fontId="33" fillId="42" borderId="42" xfId="0" applyFont="1" applyFill="1" applyBorder="1"/>
    <xf numFmtId="0" fontId="33" fillId="42" borderId="43" xfId="0" applyFont="1" applyFill="1" applyBorder="1"/>
    <xf numFmtId="0" fontId="31" fillId="40" borderId="34" xfId="0" applyFont="1" applyFill="1" applyBorder="1" applyAlignment="1">
      <alignment horizontal="right" vertical="center"/>
    </xf>
    <xf numFmtId="0" fontId="31" fillId="40" borderId="35" xfId="0" applyFont="1" applyFill="1" applyBorder="1" applyAlignment="1">
      <alignment horizontal="right" vertical="center"/>
    </xf>
    <xf numFmtId="43" fontId="30" fillId="39" borderId="45" xfId="0" applyNumberFormat="1" applyFont="1" applyFill="1" applyBorder="1"/>
    <xf numFmtId="43" fontId="35" fillId="0" borderId="45" xfId="0" applyNumberFormat="1" applyFont="1" applyBorder="1"/>
    <xf numFmtId="42" fontId="37" fillId="44" borderId="37" xfId="0" applyNumberFormat="1" applyFont="1" applyFill="1" applyBorder="1" applyAlignment="1">
      <alignment horizontal="center"/>
    </xf>
    <xf numFmtId="42" fontId="37" fillId="44" borderId="0" xfId="0" applyNumberFormat="1" applyFont="1" applyFill="1" applyAlignment="1">
      <alignment horizontal="center"/>
    </xf>
    <xf numFmtId="42" fontId="37" fillId="44" borderId="38" xfId="0" applyNumberFormat="1" applyFont="1" applyFill="1" applyBorder="1" applyAlignment="1">
      <alignment horizontal="center"/>
    </xf>
    <xf numFmtId="42" fontId="37" fillId="44" borderId="45" xfId="0" applyNumberFormat="1" applyFont="1" applyFill="1" applyBorder="1" applyAlignment="1">
      <alignment horizontal="center"/>
    </xf>
    <xf numFmtId="0" fontId="34" fillId="44" borderId="16" xfId="0" applyFont="1" applyFill="1" applyBorder="1"/>
    <xf numFmtId="0" fontId="26" fillId="44" borderId="13" xfId="0" applyFont="1" applyFill="1" applyBorder="1"/>
    <xf numFmtId="0" fontId="36" fillId="44" borderId="21" xfId="0" applyFont="1" applyFill="1" applyBorder="1"/>
    <xf numFmtId="0" fontId="44" fillId="0" borderId="0" xfId="0" applyFont="1"/>
    <xf numFmtId="0" fontId="45" fillId="45" borderId="25" xfId="0" applyFont="1" applyFill="1" applyBorder="1" applyAlignment="1">
      <alignment vertical="center"/>
    </xf>
    <xf numFmtId="0" fontId="45" fillId="45" borderId="26" xfId="0" applyFont="1" applyFill="1" applyBorder="1" applyAlignment="1">
      <alignment vertical="center"/>
    </xf>
    <xf numFmtId="14" fontId="47" fillId="0" borderId="27" xfId="0" applyNumberFormat="1" applyFont="1" applyBorder="1" applyAlignment="1" applyProtection="1">
      <alignment vertical="center"/>
      <protection locked="0"/>
    </xf>
    <xf numFmtId="14" fontId="47" fillId="0" borderId="27" xfId="0" applyNumberFormat="1" applyFont="1" applyBorder="1" applyAlignment="1" applyProtection="1">
      <alignment horizontal="center" vertical="center"/>
      <protection locked="0"/>
    </xf>
    <xf numFmtId="0" fontId="48" fillId="46" borderId="28" xfId="2126" applyFont="1" applyFill="1" applyBorder="1" applyProtection="1">
      <protection locked="0"/>
    </xf>
    <xf numFmtId="0" fontId="48" fillId="0" borderId="29" xfId="0" applyFont="1" applyBorder="1"/>
    <xf numFmtId="0" fontId="44" fillId="37" borderId="0" xfId="0" applyFont="1" applyFill="1" applyAlignment="1">
      <alignment horizontal="right" vertical="center"/>
    </xf>
    <xf numFmtId="0" fontId="44" fillId="37" borderId="0" xfId="0" applyFont="1" applyFill="1"/>
    <xf numFmtId="42" fontId="44" fillId="37" borderId="0" xfId="0" applyNumberFormat="1" applyFont="1" applyFill="1"/>
    <xf numFmtId="42" fontId="44" fillId="0" borderId="0" xfId="0" applyNumberFormat="1" applyFont="1"/>
    <xf numFmtId="42" fontId="44" fillId="37" borderId="0" xfId="0" applyNumberFormat="1" applyFont="1" applyFill="1" applyAlignment="1">
      <alignment horizontal="right"/>
    </xf>
    <xf numFmtId="49" fontId="44" fillId="41" borderId="0" xfId="0" quotePrefix="1" applyNumberFormat="1" applyFont="1" applyFill="1" applyProtection="1">
      <protection locked="0"/>
    </xf>
    <xf numFmtId="49" fontId="44" fillId="41" borderId="0" xfId="0" applyNumberFormat="1" applyFont="1" applyFill="1" applyProtection="1">
      <protection locked="0"/>
    </xf>
    <xf numFmtId="0" fontId="44" fillId="37" borderId="0" xfId="0" applyFont="1" applyFill="1" applyAlignment="1">
      <alignment horizontal="left"/>
    </xf>
    <xf numFmtId="14" fontId="44" fillId="37" borderId="0" xfId="0" applyNumberFormat="1" applyFont="1" applyFill="1" applyAlignment="1">
      <alignment horizontal="left"/>
    </xf>
    <xf numFmtId="0" fontId="48" fillId="46" borderId="30" xfId="2126" applyFont="1" applyFill="1" applyBorder="1" applyProtection="1">
      <protection locked="0"/>
    </xf>
    <xf numFmtId="0" fontId="48" fillId="0" borderId="31" xfId="0" applyFont="1" applyBorder="1"/>
    <xf numFmtId="43" fontId="47" fillId="46" borderId="0" xfId="2127" applyFont="1" applyFill="1" applyBorder="1" applyAlignment="1" applyProtection="1">
      <alignment horizontal="right"/>
    </xf>
    <xf numFmtId="0" fontId="48" fillId="0" borderId="0" xfId="2126" applyFont="1" applyFill="1" applyBorder="1" applyProtection="1">
      <protection locked="0"/>
    </xf>
    <xf numFmtId="0" fontId="48" fillId="0" borderId="0" xfId="0" applyFont="1"/>
    <xf numFmtId="0" fontId="44" fillId="45" borderId="34" xfId="0" applyFont="1" applyFill="1" applyBorder="1" applyAlignment="1">
      <alignment horizontal="right" vertical="center"/>
    </xf>
    <xf numFmtId="0" fontId="44" fillId="45" borderId="35" xfId="0" applyFont="1" applyFill="1" applyBorder="1" applyAlignment="1">
      <alignment horizontal="left"/>
    </xf>
    <xf numFmtId="0" fontId="44" fillId="45" borderId="36" xfId="0" applyFont="1" applyFill="1" applyBorder="1" applyAlignment="1">
      <alignment horizontal="left"/>
    </xf>
    <xf numFmtId="14" fontId="49" fillId="45" borderId="44" xfId="0" applyNumberFormat="1" applyFont="1" applyFill="1" applyBorder="1" applyAlignment="1">
      <alignment horizontal="center"/>
    </xf>
    <xf numFmtId="42" fontId="50" fillId="46" borderId="37" xfId="0" applyNumberFormat="1" applyFont="1" applyFill="1" applyBorder="1" applyAlignment="1">
      <alignment horizontal="center"/>
    </xf>
    <xf numFmtId="42" fontId="50" fillId="46" borderId="0" xfId="0" applyNumberFormat="1" applyFont="1" applyFill="1" applyAlignment="1">
      <alignment horizontal="center"/>
    </xf>
    <xf numFmtId="42" fontId="50" fillId="46" borderId="38" xfId="0" applyNumberFormat="1" applyFont="1" applyFill="1" applyBorder="1" applyAlignment="1">
      <alignment horizontal="center"/>
    </xf>
    <xf numFmtId="42" fontId="50" fillId="46" borderId="45" xfId="0" applyNumberFormat="1" applyFont="1" applyFill="1" applyBorder="1" applyAlignment="1">
      <alignment horizontal="center"/>
    </xf>
    <xf numFmtId="44" fontId="51" fillId="39" borderId="37" xfId="0" applyNumberFormat="1" applyFont="1" applyFill="1" applyBorder="1"/>
    <xf numFmtId="44" fontId="51" fillId="39" borderId="0" xfId="0" applyNumberFormat="1" applyFont="1" applyFill="1"/>
    <xf numFmtId="44" fontId="51" fillId="39" borderId="38" xfId="0" applyNumberFormat="1" applyFont="1" applyFill="1" applyBorder="1"/>
    <xf numFmtId="44" fontId="51" fillId="39" borderId="45" xfId="0" applyNumberFormat="1" applyFont="1" applyFill="1" applyBorder="1"/>
    <xf numFmtId="0" fontId="44" fillId="37" borderId="37" xfId="0" applyFont="1" applyFill="1" applyBorder="1"/>
    <xf numFmtId="0" fontId="44" fillId="37" borderId="38" xfId="0" applyFont="1" applyFill="1" applyBorder="1"/>
    <xf numFmtId="43" fontId="44" fillId="0" borderId="37" xfId="0" applyNumberFormat="1" applyFont="1" applyBorder="1"/>
    <xf numFmtId="43" fontId="44" fillId="0" borderId="0" xfId="0" applyNumberFormat="1" applyFont="1"/>
    <xf numFmtId="44" fontId="44" fillId="0" borderId="38" xfId="0" applyNumberFormat="1" applyFont="1" applyBorder="1"/>
    <xf numFmtId="44" fontId="44" fillId="0" borderId="45" xfId="0" applyNumberFormat="1" applyFont="1" applyBorder="1"/>
    <xf numFmtId="43" fontId="51" fillId="39" borderId="37" xfId="0" applyNumberFormat="1" applyFont="1" applyFill="1" applyBorder="1"/>
    <xf numFmtId="43" fontId="51" fillId="39" borderId="0" xfId="0" applyNumberFormat="1" applyFont="1" applyFill="1"/>
    <xf numFmtId="0" fontId="49" fillId="45" borderId="37" xfId="0" applyFont="1" applyFill="1" applyBorder="1"/>
    <xf numFmtId="0" fontId="49" fillId="45" borderId="0" xfId="0" applyFont="1" applyFill="1"/>
    <xf numFmtId="0" fontId="49" fillId="45" borderId="38" xfId="0" applyFont="1" applyFill="1" applyBorder="1"/>
    <xf numFmtId="0" fontId="52" fillId="37" borderId="0" xfId="0" applyFont="1" applyFill="1"/>
    <xf numFmtId="0" fontId="50" fillId="37" borderId="38" xfId="0" applyFont="1" applyFill="1" applyBorder="1"/>
    <xf numFmtId="43" fontId="44" fillId="0" borderId="0" xfId="2127" applyFont="1" applyProtection="1"/>
    <xf numFmtId="9" fontId="49" fillId="45" borderId="0" xfId="2130" applyFont="1" applyFill="1" applyBorder="1" applyAlignment="1" applyProtection="1">
      <alignment horizontal="center"/>
    </xf>
    <xf numFmtId="0" fontId="49" fillId="45" borderId="39" xfId="0" applyFont="1" applyFill="1" applyBorder="1"/>
    <xf numFmtId="0" fontId="49" fillId="45" borderId="12" xfId="0" applyFont="1" applyFill="1" applyBorder="1"/>
    <xf numFmtId="0" fontId="49" fillId="45" borderId="40" xfId="0" applyFont="1" applyFill="1" applyBorder="1"/>
    <xf numFmtId="44" fontId="51" fillId="39" borderId="39" xfId="0" applyNumberFormat="1" applyFont="1" applyFill="1" applyBorder="1"/>
    <xf numFmtId="44" fontId="51" fillId="39" borderId="12" xfId="0" applyNumberFormat="1" applyFont="1" applyFill="1" applyBorder="1"/>
    <xf numFmtId="44" fontId="51" fillId="39" borderId="40" xfId="0" applyNumberFormat="1" applyFont="1" applyFill="1" applyBorder="1"/>
    <xf numFmtId="44" fontId="51" fillId="39" borderId="47" xfId="0" applyNumberFormat="1" applyFont="1" applyFill="1" applyBorder="1"/>
    <xf numFmtId="0" fontId="51" fillId="37" borderId="0" xfId="0" applyFont="1" applyFill="1"/>
    <xf numFmtId="0" fontId="50" fillId="37" borderId="0" xfId="0" applyFont="1" applyFill="1"/>
    <xf numFmtId="44" fontId="46" fillId="0" borderId="0" xfId="0" applyNumberFormat="1" applyFont="1"/>
    <xf numFmtId="0" fontId="44" fillId="0" borderId="12" xfId="0" applyFont="1" applyBorder="1"/>
    <xf numFmtId="0" fontId="52" fillId="37" borderId="15" xfId="0" applyFont="1" applyFill="1" applyBorder="1"/>
    <xf numFmtId="41" fontId="52" fillId="37" borderId="14" xfId="0" applyNumberFormat="1" applyFont="1" applyFill="1" applyBorder="1"/>
    <xf numFmtId="0" fontId="44" fillId="37" borderId="16" xfId="0" applyFont="1" applyFill="1" applyBorder="1"/>
    <xf numFmtId="41" fontId="44" fillId="37" borderId="33" xfId="0" applyNumberFormat="1" applyFont="1" applyFill="1" applyBorder="1"/>
    <xf numFmtId="42" fontId="52" fillId="37" borderId="0" xfId="0" applyNumberFormat="1" applyFont="1" applyFill="1"/>
    <xf numFmtId="0" fontId="52" fillId="0" borderId="0" xfId="0" applyFont="1"/>
    <xf numFmtId="44" fontId="44" fillId="0" borderId="0" xfId="2124" applyFont="1" applyProtection="1"/>
    <xf numFmtId="0" fontId="44" fillId="45" borderId="16" xfId="0" applyFont="1" applyFill="1" applyBorder="1" applyAlignment="1">
      <alignment horizontal="center"/>
    </xf>
    <xf numFmtId="0" fontId="44" fillId="45" borderId="13" xfId="0" applyFont="1" applyFill="1" applyBorder="1" applyAlignment="1">
      <alignment horizontal="center"/>
    </xf>
    <xf numFmtId="0" fontId="44" fillId="45" borderId="21" xfId="0" applyFont="1" applyFill="1" applyBorder="1" applyAlignment="1">
      <alignment horizontal="center"/>
    </xf>
    <xf numFmtId="0" fontId="52" fillId="45" borderId="16" xfId="0" applyFont="1" applyFill="1" applyBorder="1"/>
    <xf numFmtId="0" fontId="52" fillId="45" borderId="13" xfId="0" applyFont="1" applyFill="1" applyBorder="1"/>
    <xf numFmtId="0" fontId="52" fillId="45" borderId="21" xfId="0" applyFont="1" applyFill="1" applyBorder="1"/>
    <xf numFmtId="44" fontId="44" fillId="37" borderId="17" xfId="0" applyNumberFormat="1" applyFont="1" applyFill="1" applyBorder="1"/>
    <xf numFmtId="0" fontId="52" fillId="37" borderId="16" xfId="0" applyFont="1" applyFill="1" applyBorder="1"/>
    <xf numFmtId="41" fontId="52" fillId="37" borderId="33" xfId="0" applyNumberFormat="1" applyFont="1" applyFill="1" applyBorder="1"/>
    <xf numFmtId="44" fontId="52" fillId="37" borderId="17" xfId="0" applyNumberFormat="1" applyFont="1" applyFill="1" applyBorder="1"/>
    <xf numFmtId="0" fontId="44" fillId="41" borderId="18" xfId="0" applyFont="1" applyFill="1" applyBorder="1"/>
    <xf numFmtId="0" fontId="44" fillId="41" borderId="19" xfId="0" applyFont="1" applyFill="1" applyBorder="1"/>
    <xf numFmtId="44" fontId="44" fillId="41" borderId="20" xfId="0" applyNumberFormat="1" applyFont="1" applyFill="1" applyBorder="1"/>
    <xf numFmtId="0" fontId="44" fillId="41" borderId="18" xfId="0" applyFont="1" applyFill="1" applyBorder="1" applyAlignment="1">
      <alignment horizontal="left"/>
    </xf>
    <xf numFmtId="0" fontId="44" fillId="41" borderId="19" xfId="0" applyFont="1" applyFill="1" applyBorder="1" applyAlignment="1">
      <alignment horizontal="left"/>
    </xf>
    <xf numFmtId="44" fontId="44" fillId="37" borderId="0" xfId="0" applyNumberFormat="1" applyFont="1" applyFill="1"/>
    <xf numFmtId="44" fontId="44" fillId="37" borderId="0" xfId="2124" applyFont="1" applyFill="1" applyBorder="1" applyProtection="1"/>
    <xf numFmtId="0" fontId="44" fillId="41" borderId="0" xfId="0" applyFont="1" applyFill="1"/>
    <xf numFmtId="44" fontId="44" fillId="41" borderId="0" xfId="0" applyNumberFormat="1" applyFont="1" applyFill="1"/>
    <xf numFmtId="0" fontId="52" fillId="41" borderId="0" xfId="0" applyFont="1" applyFill="1"/>
    <xf numFmtId="42" fontId="44" fillId="41" borderId="0" xfId="0" applyNumberFormat="1" applyFont="1" applyFill="1"/>
    <xf numFmtId="0" fontId="44" fillId="41" borderId="12" xfId="0" applyFont="1" applyFill="1" applyBorder="1"/>
    <xf numFmtId="42" fontId="44" fillId="41" borderId="12" xfId="0" applyNumberFormat="1" applyFont="1" applyFill="1" applyBorder="1"/>
    <xf numFmtId="0" fontId="48" fillId="41" borderId="0" xfId="0" applyFont="1" applyFill="1" applyAlignment="1">
      <alignment horizontal="right"/>
    </xf>
    <xf numFmtId="0" fontId="48" fillId="41" borderId="0" xfId="0" applyFont="1" applyFill="1"/>
    <xf numFmtId="1" fontId="48" fillId="0" borderId="0" xfId="0" applyNumberFormat="1" applyFont="1"/>
    <xf numFmtId="2" fontId="48" fillId="0" borderId="0" xfId="2127" applyNumberFormat="1" applyFont="1" applyAlignment="1">
      <alignment horizontal="right"/>
    </xf>
    <xf numFmtId="44" fontId="48" fillId="0" borderId="0" xfId="2124" applyFont="1" applyAlignment="1">
      <alignment horizontal="center"/>
    </xf>
    <xf numFmtId="0" fontId="48" fillId="0" borderId="0" xfId="0" applyFont="1" applyAlignment="1">
      <alignment horizontal="left"/>
    </xf>
    <xf numFmtId="14" fontId="53" fillId="0" borderId="0" xfId="0" applyNumberFormat="1" applyFont="1" applyAlignment="1">
      <alignment horizontal="center"/>
    </xf>
    <xf numFmtId="0" fontId="53" fillId="0" borderId="0" xfId="0" applyFont="1" applyAlignment="1">
      <alignment horizontal="center"/>
    </xf>
    <xf numFmtId="0" fontId="53" fillId="0" borderId="0" xfId="0" applyFont="1"/>
    <xf numFmtId="0" fontId="48" fillId="0" borderId="0" xfId="0" applyFont="1" applyAlignment="1">
      <alignment horizontal="center" vertical="center"/>
    </xf>
    <xf numFmtId="1" fontId="48" fillId="0" borderId="0" xfId="0" applyNumberFormat="1" applyFont="1" applyAlignment="1">
      <alignment horizontal="center" vertical="center"/>
    </xf>
    <xf numFmtId="2" fontId="48" fillId="0" borderId="0" xfId="2127" applyNumberFormat="1" applyFont="1" applyAlignment="1">
      <alignment horizontal="center" vertical="center"/>
    </xf>
    <xf numFmtId="44" fontId="48" fillId="0" borderId="0" xfId="2124" quotePrefix="1" applyFont="1" applyAlignment="1">
      <alignment horizontal="center" vertical="center"/>
    </xf>
    <xf numFmtId="0" fontId="54" fillId="0" borderId="0" xfId="2126" quotePrefix="1" applyFont="1"/>
    <xf numFmtId="44" fontId="54" fillId="0" borderId="0" xfId="2126" quotePrefix="1" applyNumberFormat="1" applyFont="1" applyAlignment="1">
      <alignment horizontal="center" vertical="center"/>
    </xf>
    <xf numFmtId="14" fontId="48" fillId="0" borderId="0" xfId="0" applyNumberFormat="1" applyFont="1" applyAlignment="1">
      <alignment horizontal="center" vertical="center"/>
    </xf>
    <xf numFmtId="14" fontId="48" fillId="0" borderId="0" xfId="0" applyNumberFormat="1" applyFont="1"/>
    <xf numFmtId="44" fontId="48" fillId="34" borderId="0" xfId="2124" applyFont="1" applyFill="1" applyAlignment="1">
      <alignment horizontal="center" vertical="top"/>
    </xf>
    <xf numFmtId="44" fontId="48" fillId="36" borderId="0" xfId="2124" applyFont="1" applyFill="1" applyAlignment="1">
      <alignment horizontal="center" vertical="top"/>
    </xf>
    <xf numFmtId="0" fontId="52" fillId="33" borderId="0" xfId="2126" applyNumberFormat="1" applyFont="1" applyFill="1" applyAlignment="1">
      <alignment horizontal="left" vertical="top"/>
    </xf>
    <xf numFmtId="0" fontId="54" fillId="33" borderId="0" xfId="2126" applyFont="1" applyFill="1" applyAlignment="1">
      <alignment horizontal="left" vertical="top"/>
    </xf>
    <xf numFmtId="0" fontId="48" fillId="33" borderId="0" xfId="0" applyFont="1" applyFill="1" applyAlignment="1">
      <alignment horizontal="left" vertical="top"/>
    </xf>
    <xf numFmtId="14" fontId="48" fillId="33" borderId="0" xfId="0" applyNumberFormat="1" applyFont="1" applyFill="1" applyAlignment="1">
      <alignment horizontal="left" vertical="top"/>
    </xf>
    <xf numFmtId="0" fontId="48" fillId="36" borderId="0" xfId="0" applyFont="1" applyFill="1" applyAlignment="1">
      <alignment horizontal="center" vertical="top"/>
    </xf>
    <xf numFmtId="14" fontId="48" fillId="0" borderId="0" xfId="0" applyNumberFormat="1" applyFont="1" applyAlignment="1">
      <alignment horizontal="center"/>
    </xf>
    <xf numFmtId="0" fontId="48" fillId="0" borderId="0" xfId="0" applyFont="1" applyAlignment="1">
      <alignment horizontal="center"/>
    </xf>
    <xf numFmtId="22" fontId="48" fillId="0" borderId="0" xfId="0" applyNumberFormat="1" applyFont="1" applyAlignment="1">
      <alignment horizontal="center" vertical="center"/>
    </xf>
    <xf numFmtId="2" fontId="48" fillId="0" borderId="0" xfId="2124" applyNumberFormat="1" applyFont="1" applyAlignment="1">
      <alignment horizontal="center" vertical="center"/>
    </xf>
    <xf numFmtId="14" fontId="48" fillId="33" borderId="0" xfId="0" applyNumberFormat="1" applyFont="1" applyFill="1" applyAlignment="1">
      <alignment horizontal="center" vertical="top"/>
    </xf>
    <xf numFmtId="14" fontId="48" fillId="36" borderId="0" xfId="0" applyNumberFormat="1" applyFont="1" applyFill="1" applyAlignment="1">
      <alignment horizontal="center" vertical="top"/>
    </xf>
    <xf numFmtId="0" fontId="48" fillId="36" borderId="0" xfId="0" applyFont="1" applyFill="1" applyAlignment="1">
      <alignment vertical="top"/>
    </xf>
    <xf numFmtId="43" fontId="48" fillId="0" borderId="0" xfId="2127" applyFont="1"/>
    <xf numFmtId="0" fontId="48" fillId="0" borderId="0" xfId="0" applyFont="1" applyAlignment="1">
      <alignment horizontal="left" vertical="top"/>
    </xf>
    <xf numFmtId="43" fontId="48" fillId="0" borderId="0" xfId="2127" applyFont="1" applyAlignment="1">
      <alignment horizontal="center" vertical="center"/>
    </xf>
    <xf numFmtId="0" fontId="48" fillId="0" borderId="0" xfId="0" applyFont="1" applyAlignment="1">
      <alignment horizontal="center" vertical="top"/>
    </xf>
    <xf numFmtId="0" fontId="48" fillId="0" borderId="0" xfId="0" applyFont="1" applyAlignment="1" applyProtection="1">
      <alignment horizontal="center"/>
      <protection locked="0"/>
    </xf>
    <xf numFmtId="0" fontId="48" fillId="0" borderId="0" xfId="0" applyFont="1" applyProtection="1">
      <protection locked="0"/>
    </xf>
    <xf numFmtId="44" fontId="48" fillId="0" borderId="0" xfId="2124" applyFont="1" applyProtection="1">
      <protection locked="0"/>
    </xf>
    <xf numFmtId="44" fontId="48" fillId="0" borderId="0" xfId="2124" applyFont="1" applyProtection="1"/>
    <xf numFmtId="0" fontId="55" fillId="0" borderId="0" xfId="0" applyFont="1" applyAlignment="1" applyProtection="1">
      <alignment vertical="top"/>
      <protection locked="0"/>
    </xf>
    <xf numFmtId="0" fontId="56" fillId="0" borderId="0" xfId="0" applyFont="1" applyAlignment="1" applyProtection="1">
      <alignment vertical="top"/>
      <protection locked="0"/>
    </xf>
    <xf numFmtId="1" fontId="48" fillId="0" borderId="0" xfId="0" applyNumberFormat="1" applyFont="1" applyProtection="1">
      <protection locked="0"/>
    </xf>
    <xf numFmtId="1" fontId="48" fillId="0" borderId="0" xfId="2124" applyNumberFormat="1" applyFont="1" applyProtection="1"/>
    <xf numFmtId="44" fontId="48" fillId="0" borderId="0" xfId="2124" applyFont="1" applyAlignment="1" applyProtection="1">
      <alignment horizontal="center"/>
      <protection locked="0"/>
    </xf>
    <xf numFmtId="44" fontId="48" fillId="0" borderId="0" xfId="2124" applyFont="1" applyAlignment="1" applyProtection="1">
      <alignment horizontal="center"/>
    </xf>
    <xf numFmtId="0" fontId="48" fillId="0" borderId="0" xfId="0" quotePrefix="1" applyFont="1" applyProtection="1">
      <protection locked="0"/>
    </xf>
    <xf numFmtId="44" fontId="48" fillId="39" borderId="0" xfId="2124" applyFont="1" applyFill="1" applyProtection="1">
      <protection locked="0"/>
    </xf>
    <xf numFmtId="1" fontId="48" fillId="36" borderId="0" xfId="2124" applyNumberFormat="1" applyFont="1" applyFill="1" applyAlignment="1" applyProtection="1">
      <alignment horizontal="center"/>
    </xf>
    <xf numFmtId="44" fontId="48" fillId="36" borderId="0" xfId="2124" applyFont="1" applyFill="1" applyProtection="1"/>
    <xf numFmtId="0" fontId="48" fillId="36" borderId="0" xfId="2124" applyNumberFormat="1" applyFont="1" applyFill="1" applyAlignment="1" applyProtection="1">
      <alignment horizontal="center"/>
    </xf>
    <xf numFmtId="44" fontId="48" fillId="39" borderId="0" xfId="2124" applyFont="1" applyFill="1" applyProtection="1"/>
    <xf numFmtId="44" fontId="48" fillId="38" borderId="0" xfId="2124" applyFont="1" applyFill="1" applyProtection="1"/>
    <xf numFmtId="44" fontId="48" fillId="38" borderId="0" xfId="2124" applyFont="1" applyFill="1" applyAlignment="1" applyProtection="1">
      <alignment horizontal="center"/>
    </xf>
    <xf numFmtId="0" fontId="48" fillId="36" borderId="0" xfId="0" applyFont="1" applyFill="1" applyProtection="1">
      <protection locked="0"/>
    </xf>
    <xf numFmtId="0" fontId="48" fillId="36" borderId="0" xfId="0" applyFont="1" applyFill="1" applyAlignment="1" applyProtection="1">
      <alignment horizontal="center" vertical="top"/>
      <protection locked="0"/>
    </xf>
    <xf numFmtId="44" fontId="48" fillId="0" borderId="0" xfId="2124" applyFont="1" applyFill="1" applyProtection="1">
      <protection locked="0"/>
    </xf>
    <xf numFmtId="44" fontId="48" fillId="0" borderId="0" xfId="2124" applyFont="1" applyFill="1" applyProtection="1"/>
    <xf numFmtId="10" fontId="48" fillId="0" borderId="0" xfId="2130" applyNumberFormat="1" applyFont="1"/>
    <xf numFmtId="0" fontId="48" fillId="0" borderId="32" xfId="0" applyFont="1" applyBorder="1"/>
    <xf numFmtId="0" fontId="48" fillId="36" borderId="0" xfId="0" applyFont="1" applyFill="1"/>
    <xf numFmtId="43" fontId="48" fillId="36" borderId="0" xfId="2127" applyFont="1" applyFill="1"/>
    <xf numFmtId="0" fontId="48" fillId="0" borderId="0" xfId="0" applyFont="1" applyAlignment="1">
      <alignment horizontal="right"/>
    </xf>
    <xf numFmtId="164" fontId="0" fillId="0" borderId="0" xfId="0" applyNumberFormat="1"/>
    <xf numFmtId="0" fontId="57" fillId="0" borderId="0" xfId="2133"/>
    <xf numFmtId="14" fontId="57" fillId="0" borderId="0" xfId="2133" applyNumberFormat="1"/>
    <xf numFmtId="2" fontId="57" fillId="0" borderId="0" xfId="2133" applyNumberFormat="1"/>
    <xf numFmtId="44" fontId="35" fillId="40" borderId="17" xfId="0" applyNumberFormat="1" applyFont="1" applyFill="1" applyBorder="1" applyProtection="1">
      <protection locked="0"/>
    </xf>
    <xf numFmtId="44" fontId="35" fillId="40" borderId="17" xfId="0" applyNumberFormat="1" applyFont="1" applyFill="1" applyBorder="1"/>
    <xf numFmtId="14" fontId="31" fillId="41" borderId="0" xfId="0" applyNumberFormat="1" applyFont="1" applyFill="1" applyAlignment="1">
      <alignment horizontal="right"/>
    </xf>
    <xf numFmtId="0" fontId="33" fillId="42" borderId="37" xfId="0" applyFont="1" applyFill="1" applyBorder="1" applyAlignment="1">
      <alignment horizontal="left"/>
    </xf>
    <xf numFmtId="0" fontId="33" fillId="42" borderId="0" xfId="0" applyFont="1" applyFill="1" applyAlignment="1">
      <alignment horizontal="left"/>
    </xf>
    <xf numFmtId="0" fontId="33" fillId="42" borderId="38" xfId="0" applyFont="1" applyFill="1" applyBorder="1" applyAlignment="1">
      <alignment horizontal="left"/>
    </xf>
    <xf numFmtId="42" fontId="37" fillId="44" borderId="37" xfId="0" applyNumberFormat="1" applyFont="1" applyFill="1" applyBorder="1" applyAlignment="1">
      <alignment horizontal="center"/>
    </xf>
    <xf numFmtId="42" fontId="37" fillId="44" borderId="0" xfId="0" applyNumberFormat="1" applyFont="1" applyFill="1" applyAlignment="1">
      <alignment horizontal="center"/>
    </xf>
    <xf numFmtId="42" fontId="37" fillId="44" borderId="38" xfId="0" applyNumberFormat="1" applyFont="1" applyFill="1" applyBorder="1" applyAlignment="1">
      <alignment horizontal="center"/>
    </xf>
    <xf numFmtId="41" fontId="32" fillId="37" borderId="22" xfId="0" applyNumberFormat="1" applyFont="1" applyFill="1" applyBorder="1" applyAlignment="1">
      <alignment horizontal="center"/>
    </xf>
    <xf numFmtId="41" fontId="32" fillId="37" borderId="23" xfId="0" applyNumberFormat="1" applyFont="1" applyFill="1" applyBorder="1" applyAlignment="1">
      <alignment horizontal="center"/>
    </xf>
    <xf numFmtId="41" fontId="32" fillId="37" borderId="24" xfId="0" applyNumberFormat="1" applyFont="1" applyFill="1" applyBorder="1" applyAlignment="1">
      <alignment horizontal="center"/>
    </xf>
    <xf numFmtId="44" fontId="31" fillId="37" borderId="34" xfId="0" applyNumberFormat="1" applyFont="1" applyFill="1" applyBorder="1" applyAlignment="1" applyProtection="1">
      <alignment horizontal="left" vertical="top" wrapText="1"/>
      <protection locked="0"/>
    </xf>
    <xf numFmtId="44" fontId="31" fillId="37" borderId="35" xfId="0" applyNumberFormat="1" applyFont="1" applyFill="1" applyBorder="1" applyAlignment="1" applyProtection="1">
      <alignment horizontal="left" vertical="top" wrapText="1"/>
      <protection locked="0"/>
    </xf>
    <xf numFmtId="44" fontId="31" fillId="37" borderId="36" xfId="0" applyNumberFormat="1" applyFont="1" applyFill="1" applyBorder="1" applyAlignment="1" applyProtection="1">
      <alignment horizontal="left" vertical="top" wrapText="1"/>
      <protection locked="0"/>
    </xf>
    <xf numFmtId="44" fontId="31" fillId="37" borderId="37" xfId="0" applyNumberFormat="1" applyFont="1" applyFill="1" applyBorder="1" applyAlignment="1" applyProtection="1">
      <alignment horizontal="left" vertical="top" wrapText="1"/>
      <protection locked="0"/>
    </xf>
    <xf numFmtId="44" fontId="31" fillId="37" borderId="0" xfId="0" applyNumberFormat="1" applyFont="1" applyFill="1" applyAlignment="1" applyProtection="1">
      <alignment horizontal="left" vertical="top" wrapText="1"/>
      <protection locked="0"/>
    </xf>
    <xf numFmtId="44" fontId="31" fillId="37" borderId="38" xfId="0" applyNumberFormat="1" applyFont="1" applyFill="1" applyBorder="1" applyAlignment="1" applyProtection="1">
      <alignment horizontal="left" vertical="top" wrapText="1"/>
      <protection locked="0"/>
    </xf>
    <xf numFmtId="44" fontId="31" fillId="37" borderId="39" xfId="0" applyNumberFormat="1" applyFont="1" applyFill="1" applyBorder="1" applyAlignment="1" applyProtection="1">
      <alignment horizontal="left" vertical="top" wrapText="1"/>
      <protection locked="0"/>
    </xf>
    <xf numFmtId="44" fontId="31" fillId="37" borderId="12" xfId="0" applyNumberFormat="1" applyFont="1" applyFill="1" applyBorder="1" applyAlignment="1" applyProtection="1">
      <alignment horizontal="left" vertical="top" wrapText="1"/>
      <protection locked="0"/>
    </xf>
    <xf numFmtId="44" fontId="31" fillId="37" borderId="40" xfId="0" applyNumberFormat="1" applyFont="1" applyFill="1" applyBorder="1" applyAlignment="1" applyProtection="1">
      <alignment horizontal="left" vertical="top" wrapText="1"/>
      <protection locked="0"/>
    </xf>
    <xf numFmtId="42" fontId="41" fillId="40" borderId="34" xfId="0" applyNumberFormat="1" applyFont="1" applyFill="1" applyBorder="1" applyAlignment="1">
      <alignment horizontal="center" vertical="center"/>
    </xf>
    <xf numFmtId="42" fontId="41" fillId="40" borderId="35" xfId="0" applyNumberFormat="1" applyFont="1" applyFill="1" applyBorder="1" applyAlignment="1">
      <alignment horizontal="center" vertical="center"/>
    </xf>
    <xf numFmtId="42" fontId="41" fillId="40" borderId="36" xfId="0" applyNumberFormat="1" applyFont="1" applyFill="1" applyBorder="1" applyAlignment="1">
      <alignment horizontal="center" vertical="center"/>
    </xf>
    <xf numFmtId="0" fontId="28" fillId="44" borderId="0" xfId="0" applyFont="1" applyFill="1" applyAlignment="1" applyProtection="1">
      <alignment horizontal="center" vertical="center"/>
      <protection locked="0"/>
    </xf>
    <xf numFmtId="0" fontId="29" fillId="40" borderId="0" xfId="0" applyFont="1" applyFill="1" applyAlignment="1">
      <alignment horizontal="center" vertical="center"/>
    </xf>
    <xf numFmtId="14" fontId="44" fillId="41" borderId="0" xfId="0" applyNumberFormat="1" applyFont="1" applyFill="1" applyAlignment="1">
      <alignment horizontal="right"/>
    </xf>
    <xf numFmtId="41" fontId="51" fillId="37" borderId="22" xfId="0" applyNumberFormat="1" applyFont="1" applyFill="1" applyBorder="1" applyAlignment="1">
      <alignment horizontal="center" vertical="center"/>
    </xf>
    <xf numFmtId="41" fontId="51" fillId="37" borderId="23" xfId="0" applyNumberFormat="1" applyFont="1" applyFill="1" applyBorder="1" applyAlignment="1">
      <alignment horizontal="center" vertical="center"/>
    </xf>
    <xf numFmtId="41" fontId="51" fillId="37" borderId="24" xfId="0" applyNumberFormat="1" applyFont="1" applyFill="1" applyBorder="1" applyAlignment="1">
      <alignment horizontal="center" vertical="center"/>
    </xf>
    <xf numFmtId="0" fontId="49" fillId="45" borderId="37" xfId="0" applyFont="1" applyFill="1" applyBorder="1" applyAlignment="1">
      <alignment horizontal="left"/>
    </xf>
    <xf numFmtId="0" fontId="49" fillId="45" borderId="0" xfId="0" applyFont="1" applyFill="1" applyAlignment="1">
      <alignment horizontal="left"/>
    </xf>
    <xf numFmtId="0" fontId="49" fillId="45" borderId="38" xfId="0" applyFont="1" applyFill="1" applyBorder="1" applyAlignment="1">
      <alignment horizontal="left"/>
    </xf>
    <xf numFmtId="41" fontId="50" fillId="37" borderId="22" xfId="0" applyNumberFormat="1" applyFont="1" applyFill="1" applyBorder="1" applyAlignment="1">
      <alignment horizontal="center"/>
    </xf>
    <xf numFmtId="41" fontId="50" fillId="37" borderId="23" xfId="0" applyNumberFormat="1" applyFont="1" applyFill="1" applyBorder="1" applyAlignment="1">
      <alignment horizontal="center"/>
    </xf>
    <xf numFmtId="41" fontId="50" fillId="37" borderId="24" xfId="0" applyNumberFormat="1" applyFont="1" applyFill="1" applyBorder="1" applyAlignment="1">
      <alignment horizontal="center"/>
    </xf>
    <xf numFmtId="44" fontId="44" fillId="37" borderId="34" xfId="0" applyNumberFormat="1" applyFont="1" applyFill="1" applyBorder="1" applyAlignment="1" applyProtection="1">
      <alignment horizontal="center" vertical="top"/>
      <protection locked="0"/>
    </xf>
    <xf numFmtId="44" fontId="44" fillId="37" borderId="35" xfId="0" applyNumberFormat="1" applyFont="1" applyFill="1" applyBorder="1" applyAlignment="1" applyProtection="1">
      <alignment horizontal="center" vertical="top"/>
      <protection locked="0"/>
    </xf>
    <xf numFmtId="44" fontId="44" fillId="37" borderId="36" xfId="0" applyNumberFormat="1" applyFont="1" applyFill="1" applyBorder="1" applyAlignment="1" applyProtection="1">
      <alignment horizontal="center" vertical="top"/>
      <protection locked="0"/>
    </xf>
    <xf numFmtId="44" fontId="44" fillId="37" borderId="37" xfId="0" applyNumberFormat="1" applyFont="1" applyFill="1" applyBorder="1" applyAlignment="1" applyProtection="1">
      <alignment horizontal="center" vertical="top"/>
      <protection locked="0"/>
    </xf>
    <xf numFmtId="44" fontId="44" fillId="37" borderId="0" xfId="0" applyNumberFormat="1" applyFont="1" applyFill="1" applyAlignment="1" applyProtection="1">
      <alignment horizontal="center" vertical="top"/>
      <protection locked="0"/>
    </xf>
    <xf numFmtId="44" fontId="44" fillId="37" borderId="38" xfId="0" applyNumberFormat="1" applyFont="1" applyFill="1" applyBorder="1" applyAlignment="1" applyProtection="1">
      <alignment horizontal="center" vertical="top"/>
      <protection locked="0"/>
    </xf>
    <xf numFmtId="44" fontId="44" fillId="37" borderId="39" xfId="0" applyNumberFormat="1" applyFont="1" applyFill="1" applyBorder="1" applyAlignment="1" applyProtection="1">
      <alignment horizontal="center" vertical="top"/>
      <protection locked="0"/>
    </xf>
    <xf numFmtId="44" fontId="44" fillId="37" borderId="12" xfId="0" applyNumberFormat="1" applyFont="1" applyFill="1" applyBorder="1" applyAlignment="1" applyProtection="1">
      <alignment horizontal="center" vertical="top"/>
      <protection locked="0"/>
    </xf>
    <xf numFmtId="44" fontId="44" fillId="37" borderId="40" xfId="0" applyNumberFormat="1" applyFont="1" applyFill="1" applyBorder="1" applyAlignment="1" applyProtection="1">
      <alignment horizontal="center" vertical="top"/>
      <protection locked="0"/>
    </xf>
    <xf numFmtId="0" fontId="44" fillId="0" borderId="0" xfId="0" applyFont="1" applyAlignment="1">
      <alignment horizontal="left" vertical="center" wrapText="1"/>
    </xf>
    <xf numFmtId="0" fontId="44" fillId="0" borderId="12" xfId="0" applyFont="1" applyBorder="1" applyAlignment="1">
      <alignment horizontal="left" vertical="center" wrapText="1"/>
    </xf>
    <xf numFmtId="0" fontId="44" fillId="37" borderId="0" xfId="0" applyFont="1" applyFill="1" applyAlignment="1">
      <alignment horizontal="left" vertical="top"/>
    </xf>
    <xf numFmtId="0" fontId="44" fillId="37" borderId="0" xfId="0" applyFont="1" applyFill="1" applyAlignment="1">
      <alignment horizontal="left"/>
    </xf>
    <xf numFmtId="0" fontId="43" fillId="45" borderId="0" xfId="0" applyFont="1" applyFill="1" applyAlignment="1" applyProtection="1">
      <alignment horizontal="center" vertical="center"/>
      <protection locked="0"/>
    </xf>
    <xf numFmtId="0" fontId="46" fillId="46" borderId="0" xfId="0" applyFont="1" applyFill="1" applyAlignment="1">
      <alignment horizontal="center" vertical="center"/>
    </xf>
    <xf numFmtId="42" fontId="49" fillId="45" borderId="34" xfId="0" applyNumberFormat="1" applyFont="1" applyFill="1" applyBorder="1" applyAlignment="1">
      <alignment horizontal="center"/>
    </xf>
    <xf numFmtId="42" fontId="49" fillId="45" borderId="35" xfId="0" applyNumberFormat="1" applyFont="1" applyFill="1" applyBorder="1" applyAlignment="1">
      <alignment horizontal="center"/>
    </xf>
    <xf numFmtId="42" fontId="49" fillId="45" borderId="36" xfId="0" applyNumberFormat="1" applyFont="1" applyFill="1" applyBorder="1" applyAlignment="1">
      <alignment horizontal="center"/>
    </xf>
    <xf numFmtId="0" fontId="44" fillId="37" borderId="0" xfId="0" applyFont="1" applyFill="1" applyAlignment="1">
      <alignment horizontal="center"/>
    </xf>
    <xf numFmtId="42" fontId="50" fillId="46" borderId="37" xfId="0" applyNumberFormat="1" applyFont="1" applyFill="1" applyBorder="1" applyAlignment="1">
      <alignment horizontal="center"/>
    </xf>
    <xf numFmtId="42" fontId="50" fillId="46" borderId="0" xfId="0" applyNumberFormat="1" applyFont="1" applyFill="1" applyAlignment="1">
      <alignment horizontal="center"/>
    </xf>
    <xf numFmtId="42" fontId="50" fillId="46" borderId="38" xfId="0" applyNumberFormat="1" applyFont="1" applyFill="1" applyBorder="1" applyAlignment="1">
      <alignment horizontal="center"/>
    </xf>
    <xf numFmtId="0" fontId="48" fillId="0" borderId="0" xfId="0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8" fillId="0" borderId="0" xfId="0" applyFont="1"/>
    <xf numFmtId="0" fontId="16" fillId="41" borderId="0" xfId="0" applyFont="1" applyFill="1" applyAlignment="1">
      <alignment horizontal="center"/>
    </xf>
  </cellXfs>
  <cellStyles count="2134">
    <cellStyle name="20% - Accent1" xfId="19" builtinId="30" customBuiltin="1"/>
    <cellStyle name="20% - Accent1 10" xfId="519" xr:uid="{00000000-0005-0000-0000-000001000000}"/>
    <cellStyle name="20% - Accent1 10 2" xfId="1511" xr:uid="{00000000-0005-0000-0000-000002000000}"/>
    <cellStyle name="20% - Accent1 11" xfId="532" xr:uid="{00000000-0005-0000-0000-000003000000}"/>
    <cellStyle name="20% - Accent1 11 2" xfId="1524" xr:uid="{00000000-0005-0000-0000-000004000000}"/>
    <cellStyle name="20% - Accent1 12" xfId="1015" xr:uid="{00000000-0005-0000-0000-000005000000}"/>
    <cellStyle name="20% - Accent1 13" xfId="1028" xr:uid="{00000000-0005-0000-0000-000006000000}"/>
    <cellStyle name="20% - Accent1 14" xfId="2008" xr:uid="{00000000-0005-0000-0000-000007000000}"/>
    <cellStyle name="20% - Accent1 15" xfId="2024" xr:uid="{00000000-0005-0000-0000-000008000000}"/>
    <cellStyle name="20% - Accent1 16" xfId="2040" xr:uid="{00000000-0005-0000-0000-000009000000}"/>
    <cellStyle name="20% - Accent1 17" xfId="2054" xr:uid="{00000000-0005-0000-0000-00000A000000}"/>
    <cellStyle name="20% - Accent1 18" xfId="2068" xr:uid="{00000000-0005-0000-0000-00000B000000}"/>
    <cellStyle name="20% - Accent1 19" xfId="2082" xr:uid="{00000000-0005-0000-0000-00000C000000}"/>
    <cellStyle name="20% - Accent1 2" xfId="45" xr:uid="{00000000-0005-0000-0000-00000D000000}"/>
    <cellStyle name="20% - Accent1 2 2" xfId="126" xr:uid="{00000000-0005-0000-0000-00000E000000}"/>
    <cellStyle name="20% - Accent1 2 2 2" xfId="282" xr:uid="{00000000-0005-0000-0000-00000F000000}"/>
    <cellStyle name="20% - Accent1 2 2 2 2" xfId="780" xr:uid="{00000000-0005-0000-0000-000010000000}"/>
    <cellStyle name="20% - Accent1 2 2 2 2 2" xfId="1772" xr:uid="{00000000-0005-0000-0000-000011000000}"/>
    <cellStyle name="20% - Accent1 2 2 2 3" xfId="1276" xr:uid="{00000000-0005-0000-0000-000012000000}"/>
    <cellStyle name="20% - Accent1 2 2 3" xfId="454" xr:uid="{00000000-0005-0000-0000-000013000000}"/>
    <cellStyle name="20% - Accent1 2 2 3 2" xfId="950" xr:uid="{00000000-0005-0000-0000-000014000000}"/>
    <cellStyle name="20% - Accent1 2 2 3 2 2" xfId="1942" xr:uid="{00000000-0005-0000-0000-000015000000}"/>
    <cellStyle name="20% - Accent1 2 2 3 3" xfId="1446" xr:uid="{00000000-0005-0000-0000-000016000000}"/>
    <cellStyle name="20% - Accent1 2 2 4" xfId="624" xr:uid="{00000000-0005-0000-0000-000017000000}"/>
    <cellStyle name="20% - Accent1 2 2 4 2" xfId="1616" xr:uid="{00000000-0005-0000-0000-000018000000}"/>
    <cellStyle name="20% - Accent1 2 2 5" xfId="1120" xr:uid="{00000000-0005-0000-0000-000019000000}"/>
    <cellStyle name="20% - Accent1 2 3" xfId="204" xr:uid="{00000000-0005-0000-0000-00001A000000}"/>
    <cellStyle name="20% - Accent1 2 3 2" xfId="702" xr:uid="{00000000-0005-0000-0000-00001B000000}"/>
    <cellStyle name="20% - Accent1 2 3 2 2" xfId="1694" xr:uid="{00000000-0005-0000-0000-00001C000000}"/>
    <cellStyle name="20% - Accent1 2 3 3" xfId="1198" xr:uid="{00000000-0005-0000-0000-00001D000000}"/>
    <cellStyle name="20% - Accent1 2 4" xfId="376" xr:uid="{00000000-0005-0000-0000-00001E000000}"/>
    <cellStyle name="20% - Accent1 2 4 2" xfId="872" xr:uid="{00000000-0005-0000-0000-00001F000000}"/>
    <cellStyle name="20% - Accent1 2 4 2 2" xfId="1864" xr:uid="{00000000-0005-0000-0000-000020000000}"/>
    <cellStyle name="20% - Accent1 2 4 3" xfId="1368" xr:uid="{00000000-0005-0000-0000-000021000000}"/>
    <cellStyle name="20% - Accent1 2 5" xfId="546" xr:uid="{00000000-0005-0000-0000-000022000000}"/>
    <cellStyle name="20% - Accent1 2 5 2" xfId="1538" xr:uid="{00000000-0005-0000-0000-000023000000}"/>
    <cellStyle name="20% - Accent1 2 6" xfId="1042" xr:uid="{00000000-0005-0000-0000-000024000000}"/>
    <cellStyle name="20% - Accent1 20" xfId="2096" xr:uid="{00000000-0005-0000-0000-000025000000}"/>
    <cellStyle name="20% - Accent1 21" xfId="2111" xr:uid="{00000000-0005-0000-0000-000026000000}"/>
    <cellStyle name="20% - Accent1 3" xfId="62" xr:uid="{00000000-0005-0000-0000-000027000000}"/>
    <cellStyle name="20% - Accent1 3 2" xfId="141" xr:uid="{00000000-0005-0000-0000-000028000000}"/>
    <cellStyle name="20% - Accent1 3 2 2" xfId="297" xr:uid="{00000000-0005-0000-0000-000029000000}"/>
    <cellStyle name="20% - Accent1 3 2 2 2" xfId="795" xr:uid="{00000000-0005-0000-0000-00002A000000}"/>
    <cellStyle name="20% - Accent1 3 2 2 2 2" xfId="1787" xr:uid="{00000000-0005-0000-0000-00002B000000}"/>
    <cellStyle name="20% - Accent1 3 2 2 3" xfId="1291" xr:uid="{00000000-0005-0000-0000-00002C000000}"/>
    <cellStyle name="20% - Accent1 3 2 3" xfId="469" xr:uid="{00000000-0005-0000-0000-00002D000000}"/>
    <cellStyle name="20% - Accent1 3 2 3 2" xfId="965" xr:uid="{00000000-0005-0000-0000-00002E000000}"/>
    <cellStyle name="20% - Accent1 3 2 3 2 2" xfId="1957" xr:uid="{00000000-0005-0000-0000-00002F000000}"/>
    <cellStyle name="20% - Accent1 3 2 3 3" xfId="1461" xr:uid="{00000000-0005-0000-0000-000030000000}"/>
    <cellStyle name="20% - Accent1 3 2 4" xfId="639" xr:uid="{00000000-0005-0000-0000-000031000000}"/>
    <cellStyle name="20% - Accent1 3 2 4 2" xfId="1631" xr:uid="{00000000-0005-0000-0000-000032000000}"/>
    <cellStyle name="20% - Accent1 3 2 5" xfId="1135" xr:uid="{00000000-0005-0000-0000-000033000000}"/>
    <cellStyle name="20% - Accent1 3 3" xfId="219" xr:uid="{00000000-0005-0000-0000-000034000000}"/>
    <cellStyle name="20% - Accent1 3 3 2" xfId="717" xr:uid="{00000000-0005-0000-0000-000035000000}"/>
    <cellStyle name="20% - Accent1 3 3 2 2" xfId="1709" xr:uid="{00000000-0005-0000-0000-000036000000}"/>
    <cellStyle name="20% - Accent1 3 3 3" xfId="1213" xr:uid="{00000000-0005-0000-0000-000037000000}"/>
    <cellStyle name="20% - Accent1 3 4" xfId="391" xr:uid="{00000000-0005-0000-0000-000038000000}"/>
    <cellStyle name="20% - Accent1 3 4 2" xfId="887" xr:uid="{00000000-0005-0000-0000-000039000000}"/>
    <cellStyle name="20% - Accent1 3 4 2 2" xfId="1879" xr:uid="{00000000-0005-0000-0000-00003A000000}"/>
    <cellStyle name="20% - Accent1 3 4 3" xfId="1383" xr:uid="{00000000-0005-0000-0000-00003B000000}"/>
    <cellStyle name="20% - Accent1 3 5" xfId="561" xr:uid="{00000000-0005-0000-0000-00003C000000}"/>
    <cellStyle name="20% - Accent1 3 5 2" xfId="1553" xr:uid="{00000000-0005-0000-0000-00003D000000}"/>
    <cellStyle name="20% - Accent1 3 6" xfId="1057" xr:uid="{00000000-0005-0000-0000-00003E000000}"/>
    <cellStyle name="20% - Accent1 4" xfId="80" xr:uid="{00000000-0005-0000-0000-00003F000000}"/>
    <cellStyle name="20% - Accent1 4 2" xfId="158" xr:uid="{00000000-0005-0000-0000-000040000000}"/>
    <cellStyle name="20% - Accent1 4 2 2" xfId="314" xr:uid="{00000000-0005-0000-0000-000041000000}"/>
    <cellStyle name="20% - Accent1 4 2 2 2" xfId="812" xr:uid="{00000000-0005-0000-0000-000042000000}"/>
    <cellStyle name="20% - Accent1 4 2 2 2 2" xfId="1804" xr:uid="{00000000-0005-0000-0000-000043000000}"/>
    <cellStyle name="20% - Accent1 4 2 2 3" xfId="1308" xr:uid="{00000000-0005-0000-0000-000044000000}"/>
    <cellStyle name="20% - Accent1 4 2 3" xfId="486" xr:uid="{00000000-0005-0000-0000-000045000000}"/>
    <cellStyle name="20% - Accent1 4 2 3 2" xfId="982" xr:uid="{00000000-0005-0000-0000-000046000000}"/>
    <cellStyle name="20% - Accent1 4 2 3 2 2" xfId="1974" xr:uid="{00000000-0005-0000-0000-000047000000}"/>
    <cellStyle name="20% - Accent1 4 2 3 3" xfId="1478" xr:uid="{00000000-0005-0000-0000-000048000000}"/>
    <cellStyle name="20% - Accent1 4 2 4" xfId="656" xr:uid="{00000000-0005-0000-0000-000049000000}"/>
    <cellStyle name="20% - Accent1 4 2 4 2" xfId="1648" xr:uid="{00000000-0005-0000-0000-00004A000000}"/>
    <cellStyle name="20% - Accent1 4 2 5" xfId="1152" xr:uid="{00000000-0005-0000-0000-00004B000000}"/>
    <cellStyle name="20% - Accent1 4 3" xfId="236" xr:uid="{00000000-0005-0000-0000-00004C000000}"/>
    <cellStyle name="20% - Accent1 4 3 2" xfId="734" xr:uid="{00000000-0005-0000-0000-00004D000000}"/>
    <cellStyle name="20% - Accent1 4 3 2 2" xfId="1726" xr:uid="{00000000-0005-0000-0000-00004E000000}"/>
    <cellStyle name="20% - Accent1 4 3 3" xfId="1230" xr:uid="{00000000-0005-0000-0000-00004F000000}"/>
    <cellStyle name="20% - Accent1 4 4" xfId="408" xr:uid="{00000000-0005-0000-0000-000050000000}"/>
    <cellStyle name="20% - Accent1 4 4 2" xfId="904" xr:uid="{00000000-0005-0000-0000-000051000000}"/>
    <cellStyle name="20% - Accent1 4 4 2 2" xfId="1896" xr:uid="{00000000-0005-0000-0000-000052000000}"/>
    <cellStyle name="20% - Accent1 4 4 3" xfId="1400" xr:uid="{00000000-0005-0000-0000-000053000000}"/>
    <cellStyle name="20% - Accent1 4 5" xfId="578" xr:uid="{00000000-0005-0000-0000-000054000000}"/>
    <cellStyle name="20% - Accent1 4 5 2" xfId="1570" xr:uid="{00000000-0005-0000-0000-000055000000}"/>
    <cellStyle name="20% - Accent1 4 6" xfId="1074" xr:uid="{00000000-0005-0000-0000-000056000000}"/>
    <cellStyle name="20% - Accent1 5" xfId="97" xr:uid="{00000000-0005-0000-0000-000057000000}"/>
    <cellStyle name="20% - Accent1 5 2" xfId="175" xr:uid="{00000000-0005-0000-0000-000058000000}"/>
    <cellStyle name="20% - Accent1 5 2 2" xfId="331" xr:uid="{00000000-0005-0000-0000-000059000000}"/>
    <cellStyle name="20% - Accent1 5 2 2 2" xfId="829" xr:uid="{00000000-0005-0000-0000-00005A000000}"/>
    <cellStyle name="20% - Accent1 5 2 2 2 2" xfId="1821" xr:uid="{00000000-0005-0000-0000-00005B000000}"/>
    <cellStyle name="20% - Accent1 5 2 2 3" xfId="1325" xr:uid="{00000000-0005-0000-0000-00005C000000}"/>
    <cellStyle name="20% - Accent1 5 2 3" xfId="503" xr:uid="{00000000-0005-0000-0000-00005D000000}"/>
    <cellStyle name="20% - Accent1 5 2 3 2" xfId="999" xr:uid="{00000000-0005-0000-0000-00005E000000}"/>
    <cellStyle name="20% - Accent1 5 2 3 2 2" xfId="1991" xr:uid="{00000000-0005-0000-0000-00005F000000}"/>
    <cellStyle name="20% - Accent1 5 2 3 3" xfId="1495" xr:uid="{00000000-0005-0000-0000-000060000000}"/>
    <cellStyle name="20% - Accent1 5 2 4" xfId="673" xr:uid="{00000000-0005-0000-0000-000061000000}"/>
    <cellStyle name="20% - Accent1 5 2 4 2" xfId="1665" xr:uid="{00000000-0005-0000-0000-000062000000}"/>
    <cellStyle name="20% - Accent1 5 2 5" xfId="1169" xr:uid="{00000000-0005-0000-0000-000063000000}"/>
    <cellStyle name="20% - Accent1 5 3" xfId="253" xr:uid="{00000000-0005-0000-0000-000064000000}"/>
    <cellStyle name="20% - Accent1 5 3 2" xfId="751" xr:uid="{00000000-0005-0000-0000-000065000000}"/>
    <cellStyle name="20% - Accent1 5 3 2 2" xfId="1743" xr:uid="{00000000-0005-0000-0000-000066000000}"/>
    <cellStyle name="20% - Accent1 5 3 3" xfId="1247" xr:uid="{00000000-0005-0000-0000-000067000000}"/>
    <cellStyle name="20% - Accent1 5 4" xfId="425" xr:uid="{00000000-0005-0000-0000-000068000000}"/>
    <cellStyle name="20% - Accent1 5 4 2" xfId="921" xr:uid="{00000000-0005-0000-0000-000069000000}"/>
    <cellStyle name="20% - Accent1 5 4 2 2" xfId="1913" xr:uid="{00000000-0005-0000-0000-00006A000000}"/>
    <cellStyle name="20% - Accent1 5 4 3" xfId="1417" xr:uid="{00000000-0005-0000-0000-00006B000000}"/>
    <cellStyle name="20% - Accent1 5 5" xfId="595" xr:uid="{00000000-0005-0000-0000-00006C000000}"/>
    <cellStyle name="20% - Accent1 5 5 2" xfId="1587" xr:uid="{00000000-0005-0000-0000-00006D000000}"/>
    <cellStyle name="20% - Accent1 5 6" xfId="1091" xr:uid="{00000000-0005-0000-0000-00006E000000}"/>
    <cellStyle name="20% - Accent1 6" xfId="112" xr:uid="{00000000-0005-0000-0000-00006F000000}"/>
    <cellStyle name="20% - Accent1 6 2" xfId="268" xr:uid="{00000000-0005-0000-0000-000070000000}"/>
    <cellStyle name="20% - Accent1 6 2 2" xfId="766" xr:uid="{00000000-0005-0000-0000-000071000000}"/>
    <cellStyle name="20% - Accent1 6 2 2 2" xfId="1758" xr:uid="{00000000-0005-0000-0000-000072000000}"/>
    <cellStyle name="20% - Accent1 6 2 3" xfId="1262" xr:uid="{00000000-0005-0000-0000-000073000000}"/>
    <cellStyle name="20% - Accent1 6 3" xfId="440" xr:uid="{00000000-0005-0000-0000-000074000000}"/>
    <cellStyle name="20% - Accent1 6 3 2" xfId="936" xr:uid="{00000000-0005-0000-0000-000075000000}"/>
    <cellStyle name="20% - Accent1 6 3 2 2" xfId="1928" xr:uid="{00000000-0005-0000-0000-000076000000}"/>
    <cellStyle name="20% - Accent1 6 3 3" xfId="1432" xr:uid="{00000000-0005-0000-0000-000077000000}"/>
    <cellStyle name="20% - Accent1 6 4" xfId="610" xr:uid="{00000000-0005-0000-0000-000078000000}"/>
    <cellStyle name="20% - Accent1 6 4 2" xfId="1602" xr:uid="{00000000-0005-0000-0000-000079000000}"/>
    <cellStyle name="20% - Accent1 6 5" xfId="1106" xr:uid="{00000000-0005-0000-0000-00007A000000}"/>
    <cellStyle name="20% - Accent1 7" xfId="347" xr:uid="{00000000-0005-0000-0000-00007B000000}"/>
    <cellStyle name="20% - Accent1 7 2" xfId="845" xr:uid="{00000000-0005-0000-0000-00007C000000}"/>
    <cellStyle name="20% - Accent1 7 2 2" xfId="1837" xr:uid="{00000000-0005-0000-0000-00007D000000}"/>
    <cellStyle name="20% - Accent1 7 3" xfId="1341" xr:uid="{00000000-0005-0000-0000-00007E000000}"/>
    <cellStyle name="20% - Accent1 8" xfId="190" xr:uid="{00000000-0005-0000-0000-00007F000000}"/>
    <cellStyle name="20% - Accent1 8 2" xfId="688" xr:uid="{00000000-0005-0000-0000-000080000000}"/>
    <cellStyle name="20% - Accent1 8 2 2" xfId="1680" xr:uid="{00000000-0005-0000-0000-000081000000}"/>
    <cellStyle name="20% - Accent1 8 3" xfId="1184" xr:uid="{00000000-0005-0000-0000-000082000000}"/>
    <cellStyle name="20% - Accent1 9" xfId="362" xr:uid="{00000000-0005-0000-0000-000083000000}"/>
    <cellStyle name="20% - Accent1 9 2" xfId="858" xr:uid="{00000000-0005-0000-0000-000084000000}"/>
    <cellStyle name="20% - Accent1 9 2 2" xfId="1850" xr:uid="{00000000-0005-0000-0000-000085000000}"/>
    <cellStyle name="20% - Accent1 9 3" xfId="1354" xr:uid="{00000000-0005-0000-0000-000086000000}"/>
    <cellStyle name="20% - Accent2" xfId="23" builtinId="34" customBuiltin="1"/>
    <cellStyle name="20% - Accent2 10" xfId="521" xr:uid="{00000000-0005-0000-0000-000088000000}"/>
    <cellStyle name="20% - Accent2 10 2" xfId="1513" xr:uid="{00000000-0005-0000-0000-000089000000}"/>
    <cellStyle name="20% - Accent2 11" xfId="534" xr:uid="{00000000-0005-0000-0000-00008A000000}"/>
    <cellStyle name="20% - Accent2 11 2" xfId="1526" xr:uid="{00000000-0005-0000-0000-00008B000000}"/>
    <cellStyle name="20% - Accent2 12" xfId="1017" xr:uid="{00000000-0005-0000-0000-00008C000000}"/>
    <cellStyle name="20% - Accent2 13" xfId="1030" xr:uid="{00000000-0005-0000-0000-00008D000000}"/>
    <cellStyle name="20% - Accent2 14" xfId="2010" xr:uid="{00000000-0005-0000-0000-00008E000000}"/>
    <cellStyle name="20% - Accent2 15" xfId="2026" xr:uid="{00000000-0005-0000-0000-00008F000000}"/>
    <cellStyle name="20% - Accent2 16" xfId="2042" xr:uid="{00000000-0005-0000-0000-000090000000}"/>
    <cellStyle name="20% - Accent2 17" xfId="2056" xr:uid="{00000000-0005-0000-0000-000091000000}"/>
    <cellStyle name="20% - Accent2 18" xfId="2070" xr:uid="{00000000-0005-0000-0000-000092000000}"/>
    <cellStyle name="20% - Accent2 19" xfId="2084" xr:uid="{00000000-0005-0000-0000-000093000000}"/>
    <cellStyle name="20% - Accent2 2" xfId="47" xr:uid="{00000000-0005-0000-0000-000094000000}"/>
    <cellStyle name="20% - Accent2 2 2" xfId="128" xr:uid="{00000000-0005-0000-0000-000095000000}"/>
    <cellStyle name="20% - Accent2 2 2 2" xfId="284" xr:uid="{00000000-0005-0000-0000-000096000000}"/>
    <cellStyle name="20% - Accent2 2 2 2 2" xfId="782" xr:uid="{00000000-0005-0000-0000-000097000000}"/>
    <cellStyle name="20% - Accent2 2 2 2 2 2" xfId="1774" xr:uid="{00000000-0005-0000-0000-000098000000}"/>
    <cellStyle name="20% - Accent2 2 2 2 3" xfId="1278" xr:uid="{00000000-0005-0000-0000-000099000000}"/>
    <cellStyle name="20% - Accent2 2 2 3" xfId="456" xr:uid="{00000000-0005-0000-0000-00009A000000}"/>
    <cellStyle name="20% - Accent2 2 2 3 2" xfId="952" xr:uid="{00000000-0005-0000-0000-00009B000000}"/>
    <cellStyle name="20% - Accent2 2 2 3 2 2" xfId="1944" xr:uid="{00000000-0005-0000-0000-00009C000000}"/>
    <cellStyle name="20% - Accent2 2 2 3 3" xfId="1448" xr:uid="{00000000-0005-0000-0000-00009D000000}"/>
    <cellStyle name="20% - Accent2 2 2 4" xfId="626" xr:uid="{00000000-0005-0000-0000-00009E000000}"/>
    <cellStyle name="20% - Accent2 2 2 4 2" xfId="1618" xr:uid="{00000000-0005-0000-0000-00009F000000}"/>
    <cellStyle name="20% - Accent2 2 2 5" xfId="1122" xr:uid="{00000000-0005-0000-0000-0000A0000000}"/>
    <cellStyle name="20% - Accent2 2 3" xfId="206" xr:uid="{00000000-0005-0000-0000-0000A1000000}"/>
    <cellStyle name="20% - Accent2 2 3 2" xfId="704" xr:uid="{00000000-0005-0000-0000-0000A2000000}"/>
    <cellStyle name="20% - Accent2 2 3 2 2" xfId="1696" xr:uid="{00000000-0005-0000-0000-0000A3000000}"/>
    <cellStyle name="20% - Accent2 2 3 3" xfId="1200" xr:uid="{00000000-0005-0000-0000-0000A4000000}"/>
    <cellStyle name="20% - Accent2 2 4" xfId="378" xr:uid="{00000000-0005-0000-0000-0000A5000000}"/>
    <cellStyle name="20% - Accent2 2 4 2" xfId="874" xr:uid="{00000000-0005-0000-0000-0000A6000000}"/>
    <cellStyle name="20% - Accent2 2 4 2 2" xfId="1866" xr:uid="{00000000-0005-0000-0000-0000A7000000}"/>
    <cellStyle name="20% - Accent2 2 4 3" xfId="1370" xr:uid="{00000000-0005-0000-0000-0000A8000000}"/>
    <cellStyle name="20% - Accent2 2 5" xfId="548" xr:uid="{00000000-0005-0000-0000-0000A9000000}"/>
    <cellStyle name="20% - Accent2 2 5 2" xfId="1540" xr:uid="{00000000-0005-0000-0000-0000AA000000}"/>
    <cellStyle name="20% - Accent2 2 6" xfId="1044" xr:uid="{00000000-0005-0000-0000-0000AB000000}"/>
    <cellStyle name="20% - Accent2 20" xfId="2098" xr:uid="{00000000-0005-0000-0000-0000AC000000}"/>
    <cellStyle name="20% - Accent2 21" xfId="2113" xr:uid="{00000000-0005-0000-0000-0000AD000000}"/>
    <cellStyle name="20% - Accent2 3" xfId="64" xr:uid="{00000000-0005-0000-0000-0000AE000000}"/>
    <cellStyle name="20% - Accent2 3 2" xfId="143" xr:uid="{00000000-0005-0000-0000-0000AF000000}"/>
    <cellStyle name="20% - Accent2 3 2 2" xfId="299" xr:uid="{00000000-0005-0000-0000-0000B0000000}"/>
    <cellStyle name="20% - Accent2 3 2 2 2" xfId="797" xr:uid="{00000000-0005-0000-0000-0000B1000000}"/>
    <cellStyle name="20% - Accent2 3 2 2 2 2" xfId="1789" xr:uid="{00000000-0005-0000-0000-0000B2000000}"/>
    <cellStyle name="20% - Accent2 3 2 2 3" xfId="1293" xr:uid="{00000000-0005-0000-0000-0000B3000000}"/>
    <cellStyle name="20% - Accent2 3 2 3" xfId="471" xr:uid="{00000000-0005-0000-0000-0000B4000000}"/>
    <cellStyle name="20% - Accent2 3 2 3 2" xfId="967" xr:uid="{00000000-0005-0000-0000-0000B5000000}"/>
    <cellStyle name="20% - Accent2 3 2 3 2 2" xfId="1959" xr:uid="{00000000-0005-0000-0000-0000B6000000}"/>
    <cellStyle name="20% - Accent2 3 2 3 3" xfId="1463" xr:uid="{00000000-0005-0000-0000-0000B7000000}"/>
    <cellStyle name="20% - Accent2 3 2 4" xfId="641" xr:uid="{00000000-0005-0000-0000-0000B8000000}"/>
    <cellStyle name="20% - Accent2 3 2 4 2" xfId="1633" xr:uid="{00000000-0005-0000-0000-0000B9000000}"/>
    <cellStyle name="20% - Accent2 3 2 5" xfId="1137" xr:uid="{00000000-0005-0000-0000-0000BA000000}"/>
    <cellStyle name="20% - Accent2 3 3" xfId="221" xr:uid="{00000000-0005-0000-0000-0000BB000000}"/>
    <cellStyle name="20% - Accent2 3 3 2" xfId="719" xr:uid="{00000000-0005-0000-0000-0000BC000000}"/>
    <cellStyle name="20% - Accent2 3 3 2 2" xfId="1711" xr:uid="{00000000-0005-0000-0000-0000BD000000}"/>
    <cellStyle name="20% - Accent2 3 3 3" xfId="1215" xr:uid="{00000000-0005-0000-0000-0000BE000000}"/>
    <cellStyle name="20% - Accent2 3 4" xfId="393" xr:uid="{00000000-0005-0000-0000-0000BF000000}"/>
    <cellStyle name="20% - Accent2 3 4 2" xfId="889" xr:uid="{00000000-0005-0000-0000-0000C0000000}"/>
    <cellStyle name="20% - Accent2 3 4 2 2" xfId="1881" xr:uid="{00000000-0005-0000-0000-0000C1000000}"/>
    <cellStyle name="20% - Accent2 3 4 3" xfId="1385" xr:uid="{00000000-0005-0000-0000-0000C2000000}"/>
    <cellStyle name="20% - Accent2 3 5" xfId="563" xr:uid="{00000000-0005-0000-0000-0000C3000000}"/>
    <cellStyle name="20% - Accent2 3 5 2" xfId="1555" xr:uid="{00000000-0005-0000-0000-0000C4000000}"/>
    <cellStyle name="20% - Accent2 3 6" xfId="1059" xr:uid="{00000000-0005-0000-0000-0000C5000000}"/>
    <cellStyle name="20% - Accent2 4" xfId="82" xr:uid="{00000000-0005-0000-0000-0000C6000000}"/>
    <cellStyle name="20% - Accent2 4 2" xfId="160" xr:uid="{00000000-0005-0000-0000-0000C7000000}"/>
    <cellStyle name="20% - Accent2 4 2 2" xfId="316" xr:uid="{00000000-0005-0000-0000-0000C8000000}"/>
    <cellStyle name="20% - Accent2 4 2 2 2" xfId="814" xr:uid="{00000000-0005-0000-0000-0000C9000000}"/>
    <cellStyle name="20% - Accent2 4 2 2 2 2" xfId="1806" xr:uid="{00000000-0005-0000-0000-0000CA000000}"/>
    <cellStyle name="20% - Accent2 4 2 2 3" xfId="1310" xr:uid="{00000000-0005-0000-0000-0000CB000000}"/>
    <cellStyle name="20% - Accent2 4 2 3" xfId="488" xr:uid="{00000000-0005-0000-0000-0000CC000000}"/>
    <cellStyle name="20% - Accent2 4 2 3 2" xfId="984" xr:uid="{00000000-0005-0000-0000-0000CD000000}"/>
    <cellStyle name="20% - Accent2 4 2 3 2 2" xfId="1976" xr:uid="{00000000-0005-0000-0000-0000CE000000}"/>
    <cellStyle name="20% - Accent2 4 2 3 3" xfId="1480" xr:uid="{00000000-0005-0000-0000-0000CF000000}"/>
    <cellStyle name="20% - Accent2 4 2 4" xfId="658" xr:uid="{00000000-0005-0000-0000-0000D0000000}"/>
    <cellStyle name="20% - Accent2 4 2 4 2" xfId="1650" xr:uid="{00000000-0005-0000-0000-0000D1000000}"/>
    <cellStyle name="20% - Accent2 4 2 5" xfId="1154" xr:uid="{00000000-0005-0000-0000-0000D2000000}"/>
    <cellStyle name="20% - Accent2 4 3" xfId="238" xr:uid="{00000000-0005-0000-0000-0000D3000000}"/>
    <cellStyle name="20% - Accent2 4 3 2" xfId="736" xr:uid="{00000000-0005-0000-0000-0000D4000000}"/>
    <cellStyle name="20% - Accent2 4 3 2 2" xfId="1728" xr:uid="{00000000-0005-0000-0000-0000D5000000}"/>
    <cellStyle name="20% - Accent2 4 3 3" xfId="1232" xr:uid="{00000000-0005-0000-0000-0000D6000000}"/>
    <cellStyle name="20% - Accent2 4 4" xfId="410" xr:uid="{00000000-0005-0000-0000-0000D7000000}"/>
    <cellStyle name="20% - Accent2 4 4 2" xfId="906" xr:uid="{00000000-0005-0000-0000-0000D8000000}"/>
    <cellStyle name="20% - Accent2 4 4 2 2" xfId="1898" xr:uid="{00000000-0005-0000-0000-0000D9000000}"/>
    <cellStyle name="20% - Accent2 4 4 3" xfId="1402" xr:uid="{00000000-0005-0000-0000-0000DA000000}"/>
    <cellStyle name="20% - Accent2 4 5" xfId="580" xr:uid="{00000000-0005-0000-0000-0000DB000000}"/>
    <cellStyle name="20% - Accent2 4 5 2" xfId="1572" xr:uid="{00000000-0005-0000-0000-0000DC000000}"/>
    <cellStyle name="20% - Accent2 4 6" xfId="1076" xr:uid="{00000000-0005-0000-0000-0000DD000000}"/>
    <cellStyle name="20% - Accent2 5" xfId="99" xr:uid="{00000000-0005-0000-0000-0000DE000000}"/>
    <cellStyle name="20% - Accent2 5 2" xfId="177" xr:uid="{00000000-0005-0000-0000-0000DF000000}"/>
    <cellStyle name="20% - Accent2 5 2 2" xfId="333" xr:uid="{00000000-0005-0000-0000-0000E0000000}"/>
    <cellStyle name="20% - Accent2 5 2 2 2" xfId="831" xr:uid="{00000000-0005-0000-0000-0000E1000000}"/>
    <cellStyle name="20% - Accent2 5 2 2 2 2" xfId="1823" xr:uid="{00000000-0005-0000-0000-0000E2000000}"/>
    <cellStyle name="20% - Accent2 5 2 2 3" xfId="1327" xr:uid="{00000000-0005-0000-0000-0000E3000000}"/>
    <cellStyle name="20% - Accent2 5 2 3" xfId="505" xr:uid="{00000000-0005-0000-0000-0000E4000000}"/>
    <cellStyle name="20% - Accent2 5 2 3 2" xfId="1001" xr:uid="{00000000-0005-0000-0000-0000E5000000}"/>
    <cellStyle name="20% - Accent2 5 2 3 2 2" xfId="1993" xr:uid="{00000000-0005-0000-0000-0000E6000000}"/>
    <cellStyle name="20% - Accent2 5 2 3 3" xfId="1497" xr:uid="{00000000-0005-0000-0000-0000E7000000}"/>
    <cellStyle name="20% - Accent2 5 2 4" xfId="675" xr:uid="{00000000-0005-0000-0000-0000E8000000}"/>
    <cellStyle name="20% - Accent2 5 2 4 2" xfId="1667" xr:uid="{00000000-0005-0000-0000-0000E9000000}"/>
    <cellStyle name="20% - Accent2 5 2 5" xfId="1171" xr:uid="{00000000-0005-0000-0000-0000EA000000}"/>
    <cellStyle name="20% - Accent2 5 3" xfId="255" xr:uid="{00000000-0005-0000-0000-0000EB000000}"/>
    <cellStyle name="20% - Accent2 5 3 2" xfId="753" xr:uid="{00000000-0005-0000-0000-0000EC000000}"/>
    <cellStyle name="20% - Accent2 5 3 2 2" xfId="1745" xr:uid="{00000000-0005-0000-0000-0000ED000000}"/>
    <cellStyle name="20% - Accent2 5 3 3" xfId="1249" xr:uid="{00000000-0005-0000-0000-0000EE000000}"/>
    <cellStyle name="20% - Accent2 5 4" xfId="427" xr:uid="{00000000-0005-0000-0000-0000EF000000}"/>
    <cellStyle name="20% - Accent2 5 4 2" xfId="923" xr:uid="{00000000-0005-0000-0000-0000F0000000}"/>
    <cellStyle name="20% - Accent2 5 4 2 2" xfId="1915" xr:uid="{00000000-0005-0000-0000-0000F1000000}"/>
    <cellStyle name="20% - Accent2 5 4 3" xfId="1419" xr:uid="{00000000-0005-0000-0000-0000F2000000}"/>
    <cellStyle name="20% - Accent2 5 5" xfId="597" xr:uid="{00000000-0005-0000-0000-0000F3000000}"/>
    <cellStyle name="20% - Accent2 5 5 2" xfId="1589" xr:uid="{00000000-0005-0000-0000-0000F4000000}"/>
    <cellStyle name="20% - Accent2 5 6" xfId="1093" xr:uid="{00000000-0005-0000-0000-0000F5000000}"/>
    <cellStyle name="20% - Accent2 6" xfId="114" xr:uid="{00000000-0005-0000-0000-0000F6000000}"/>
    <cellStyle name="20% - Accent2 6 2" xfId="270" xr:uid="{00000000-0005-0000-0000-0000F7000000}"/>
    <cellStyle name="20% - Accent2 6 2 2" xfId="768" xr:uid="{00000000-0005-0000-0000-0000F8000000}"/>
    <cellStyle name="20% - Accent2 6 2 2 2" xfId="1760" xr:uid="{00000000-0005-0000-0000-0000F9000000}"/>
    <cellStyle name="20% - Accent2 6 2 3" xfId="1264" xr:uid="{00000000-0005-0000-0000-0000FA000000}"/>
    <cellStyle name="20% - Accent2 6 3" xfId="442" xr:uid="{00000000-0005-0000-0000-0000FB000000}"/>
    <cellStyle name="20% - Accent2 6 3 2" xfId="938" xr:uid="{00000000-0005-0000-0000-0000FC000000}"/>
    <cellStyle name="20% - Accent2 6 3 2 2" xfId="1930" xr:uid="{00000000-0005-0000-0000-0000FD000000}"/>
    <cellStyle name="20% - Accent2 6 3 3" xfId="1434" xr:uid="{00000000-0005-0000-0000-0000FE000000}"/>
    <cellStyle name="20% - Accent2 6 4" xfId="612" xr:uid="{00000000-0005-0000-0000-0000FF000000}"/>
    <cellStyle name="20% - Accent2 6 4 2" xfId="1604" xr:uid="{00000000-0005-0000-0000-000000010000}"/>
    <cellStyle name="20% - Accent2 6 5" xfId="1108" xr:uid="{00000000-0005-0000-0000-000001010000}"/>
    <cellStyle name="20% - Accent2 7" xfId="349" xr:uid="{00000000-0005-0000-0000-000002010000}"/>
    <cellStyle name="20% - Accent2 7 2" xfId="847" xr:uid="{00000000-0005-0000-0000-000003010000}"/>
    <cellStyle name="20% - Accent2 7 2 2" xfId="1839" xr:uid="{00000000-0005-0000-0000-000004010000}"/>
    <cellStyle name="20% - Accent2 7 3" xfId="1343" xr:uid="{00000000-0005-0000-0000-000005010000}"/>
    <cellStyle name="20% - Accent2 8" xfId="192" xr:uid="{00000000-0005-0000-0000-000006010000}"/>
    <cellStyle name="20% - Accent2 8 2" xfId="690" xr:uid="{00000000-0005-0000-0000-000007010000}"/>
    <cellStyle name="20% - Accent2 8 2 2" xfId="1682" xr:uid="{00000000-0005-0000-0000-000008010000}"/>
    <cellStyle name="20% - Accent2 8 3" xfId="1186" xr:uid="{00000000-0005-0000-0000-000009010000}"/>
    <cellStyle name="20% - Accent2 9" xfId="364" xr:uid="{00000000-0005-0000-0000-00000A010000}"/>
    <cellStyle name="20% - Accent2 9 2" xfId="860" xr:uid="{00000000-0005-0000-0000-00000B010000}"/>
    <cellStyle name="20% - Accent2 9 2 2" xfId="1852" xr:uid="{00000000-0005-0000-0000-00000C010000}"/>
    <cellStyle name="20% - Accent2 9 3" xfId="1356" xr:uid="{00000000-0005-0000-0000-00000D010000}"/>
    <cellStyle name="20% - Accent3" xfId="27" builtinId="38" customBuiltin="1"/>
    <cellStyle name="20% - Accent3 10" xfId="523" xr:uid="{00000000-0005-0000-0000-00000F010000}"/>
    <cellStyle name="20% - Accent3 10 2" xfId="1515" xr:uid="{00000000-0005-0000-0000-000010010000}"/>
    <cellStyle name="20% - Accent3 11" xfId="536" xr:uid="{00000000-0005-0000-0000-000011010000}"/>
    <cellStyle name="20% - Accent3 11 2" xfId="1528" xr:uid="{00000000-0005-0000-0000-000012010000}"/>
    <cellStyle name="20% - Accent3 12" xfId="1019" xr:uid="{00000000-0005-0000-0000-000013010000}"/>
    <cellStyle name="20% - Accent3 13" xfId="1032" xr:uid="{00000000-0005-0000-0000-000014010000}"/>
    <cellStyle name="20% - Accent3 14" xfId="2012" xr:uid="{00000000-0005-0000-0000-000015010000}"/>
    <cellStyle name="20% - Accent3 15" xfId="2028" xr:uid="{00000000-0005-0000-0000-000016010000}"/>
    <cellStyle name="20% - Accent3 16" xfId="2044" xr:uid="{00000000-0005-0000-0000-000017010000}"/>
    <cellStyle name="20% - Accent3 17" xfId="2058" xr:uid="{00000000-0005-0000-0000-000018010000}"/>
    <cellStyle name="20% - Accent3 18" xfId="2072" xr:uid="{00000000-0005-0000-0000-000019010000}"/>
    <cellStyle name="20% - Accent3 19" xfId="2086" xr:uid="{00000000-0005-0000-0000-00001A010000}"/>
    <cellStyle name="20% - Accent3 2" xfId="49" xr:uid="{00000000-0005-0000-0000-00001B010000}"/>
    <cellStyle name="20% - Accent3 2 2" xfId="130" xr:uid="{00000000-0005-0000-0000-00001C010000}"/>
    <cellStyle name="20% - Accent3 2 2 2" xfId="286" xr:uid="{00000000-0005-0000-0000-00001D010000}"/>
    <cellStyle name="20% - Accent3 2 2 2 2" xfId="784" xr:uid="{00000000-0005-0000-0000-00001E010000}"/>
    <cellStyle name="20% - Accent3 2 2 2 2 2" xfId="1776" xr:uid="{00000000-0005-0000-0000-00001F010000}"/>
    <cellStyle name="20% - Accent3 2 2 2 3" xfId="1280" xr:uid="{00000000-0005-0000-0000-000020010000}"/>
    <cellStyle name="20% - Accent3 2 2 3" xfId="458" xr:uid="{00000000-0005-0000-0000-000021010000}"/>
    <cellStyle name="20% - Accent3 2 2 3 2" xfId="954" xr:uid="{00000000-0005-0000-0000-000022010000}"/>
    <cellStyle name="20% - Accent3 2 2 3 2 2" xfId="1946" xr:uid="{00000000-0005-0000-0000-000023010000}"/>
    <cellStyle name="20% - Accent3 2 2 3 3" xfId="1450" xr:uid="{00000000-0005-0000-0000-000024010000}"/>
    <cellStyle name="20% - Accent3 2 2 4" xfId="628" xr:uid="{00000000-0005-0000-0000-000025010000}"/>
    <cellStyle name="20% - Accent3 2 2 4 2" xfId="1620" xr:uid="{00000000-0005-0000-0000-000026010000}"/>
    <cellStyle name="20% - Accent3 2 2 5" xfId="1124" xr:uid="{00000000-0005-0000-0000-000027010000}"/>
    <cellStyle name="20% - Accent3 2 3" xfId="208" xr:uid="{00000000-0005-0000-0000-000028010000}"/>
    <cellStyle name="20% - Accent3 2 3 2" xfId="706" xr:uid="{00000000-0005-0000-0000-000029010000}"/>
    <cellStyle name="20% - Accent3 2 3 2 2" xfId="1698" xr:uid="{00000000-0005-0000-0000-00002A010000}"/>
    <cellStyle name="20% - Accent3 2 3 3" xfId="1202" xr:uid="{00000000-0005-0000-0000-00002B010000}"/>
    <cellStyle name="20% - Accent3 2 4" xfId="380" xr:uid="{00000000-0005-0000-0000-00002C010000}"/>
    <cellStyle name="20% - Accent3 2 4 2" xfId="876" xr:uid="{00000000-0005-0000-0000-00002D010000}"/>
    <cellStyle name="20% - Accent3 2 4 2 2" xfId="1868" xr:uid="{00000000-0005-0000-0000-00002E010000}"/>
    <cellStyle name="20% - Accent3 2 4 3" xfId="1372" xr:uid="{00000000-0005-0000-0000-00002F010000}"/>
    <cellStyle name="20% - Accent3 2 5" xfId="550" xr:uid="{00000000-0005-0000-0000-000030010000}"/>
    <cellStyle name="20% - Accent3 2 5 2" xfId="1542" xr:uid="{00000000-0005-0000-0000-000031010000}"/>
    <cellStyle name="20% - Accent3 2 6" xfId="1046" xr:uid="{00000000-0005-0000-0000-000032010000}"/>
    <cellStyle name="20% - Accent3 20" xfId="2100" xr:uid="{00000000-0005-0000-0000-000033010000}"/>
    <cellStyle name="20% - Accent3 21" xfId="2115" xr:uid="{00000000-0005-0000-0000-000034010000}"/>
    <cellStyle name="20% - Accent3 3" xfId="66" xr:uid="{00000000-0005-0000-0000-000035010000}"/>
    <cellStyle name="20% - Accent3 3 2" xfId="145" xr:uid="{00000000-0005-0000-0000-000036010000}"/>
    <cellStyle name="20% - Accent3 3 2 2" xfId="301" xr:uid="{00000000-0005-0000-0000-000037010000}"/>
    <cellStyle name="20% - Accent3 3 2 2 2" xfId="799" xr:uid="{00000000-0005-0000-0000-000038010000}"/>
    <cellStyle name="20% - Accent3 3 2 2 2 2" xfId="1791" xr:uid="{00000000-0005-0000-0000-000039010000}"/>
    <cellStyle name="20% - Accent3 3 2 2 3" xfId="1295" xr:uid="{00000000-0005-0000-0000-00003A010000}"/>
    <cellStyle name="20% - Accent3 3 2 3" xfId="473" xr:uid="{00000000-0005-0000-0000-00003B010000}"/>
    <cellStyle name="20% - Accent3 3 2 3 2" xfId="969" xr:uid="{00000000-0005-0000-0000-00003C010000}"/>
    <cellStyle name="20% - Accent3 3 2 3 2 2" xfId="1961" xr:uid="{00000000-0005-0000-0000-00003D010000}"/>
    <cellStyle name="20% - Accent3 3 2 3 3" xfId="1465" xr:uid="{00000000-0005-0000-0000-00003E010000}"/>
    <cellStyle name="20% - Accent3 3 2 4" xfId="643" xr:uid="{00000000-0005-0000-0000-00003F010000}"/>
    <cellStyle name="20% - Accent3 3 2 4 2" xfId="1635" xr:uid="{00000000-0005-0000-0000-000040010000}"/>
    <cellStyle name="20% - Accent3 3 2 5" xfId="1139" xr:uid="{00000000-0005-0000-0000-000041010000}"/>
    <cellStyle name="20% - Accent3 3 3" xfId="223" xr:uid="{00000000-0005-0000-0000-000042010000}"/>
    <cellStyle name="20% - Accent3 3 3 2" xfId="721" xr:uid="{00000000-0005-0000-0000-000043010000}"/>
    <cellStyle name="20% - Accent3 3 3 2 2" xfId="1713" xr:uid="{00000000-0005-0000-0000-000044010000}"/>
    <cellStyle name="20% - Accent3 3 3 3" xfId="1217" xr:uid="{00000000-0005-0000-0000-000045010000}"/>
    <cellStyle name="20% - Accent3 3 4" xfId="395" xr:uid="{00000000-0005-0000-0000-000046010000}"/>
    <cellStyle name="20% - Accent3 3 4 2" xfId="891" xr:uid="{00000000-0005-0000-0000-000047010000}"/>
    <cellStyle name="20% - Accent3 3 4 2 2" xfId="1883" xr:uid="{00000000-0005-0000-0000-000048010000}"/>
    <cellStyle name="20% - Accent3 3 4 3" xfId="1387" xr:uid="{00000000-0005-0000-0000-000049010000}"/>
    <cellStyle name="20% - Accent3 3 5" xfId="565" xr:uid="{00000000-0005-0000-0000-00004A010000}"/>
    <cellStyle name="20% - Accent3 3 5 2" xfId="1557" xr:uid="{00000000-0005-0000-0000-00004B010000}"/>
    <cellStyle name="20% - Accent3 3 6" xfId="1061" xr:uid="{00000000-0005-0000-0000-00004C010000}"/>
    <cellStyle name="20% - Accent3 4" xfId="84" xr:uid="{00000000-0005-0000-0000-00004D010000}"/>
    <cellStyle name="20% - Accent3 4 2" xfId="162" xr:uid="{00000000-0005-0000-0000-00004E010000}"/>
    <cellStyle name="20% - Accent3 4 2 2" xfId="318" xr:uid="{00000000-0005-0000-0000-00004F010000}"/>
    <cellStyle name="20% - Accent3 4 2 2 2" xfId="816" xr:uid="{00000000-0005-0000-0000-000050010000}"/>
    <cellStyle name="20% - Accent3 4 2 2 2 2" xfId="1808" xr:uid="{00000000-0005-0000-0000-000051010000}"/>
    <cellStyle name="20% - Accent3 4 2 2 3" xfId="1312" xr:uid="{00000000-0005-0000-0000-000052010000}"/>
    <cellStyle name="20% - Accent3 4 2 3" xfId="490" xr:uid="{00000000-0005-0000-0000-000053010000}"/>
    <cellStyle name="20% - Accent3 4 2 3 2" xfId="986" xr:uid="{00000000-0005-0000-0000-000054010000}"/>
    <cellStyle name="20% - Accent3 4 2 3 2 2" xfId="1978" xr:uid="{00000000-0005-0000-0000-000055010000}"/>
    <cellStyle name="20% - Accent3 4 2 3 3" xfId="1482" xr:uid="{00000000-0005-0000-0000-000056010000}"/>
    <cellStyle name="20% - Accent3 4 2 4" xfId="660" xr:uid="{00000000-0005-0000-0000-000057010000}"/>
    <cellStyle name="20% - Accent3 4 2 4 2" xfId="1652" xr:uid="{00000000-0005-0000-0000-000058010000}"/>
    <cellStyle name="20% - Accent3 4 2 5" xfId="1156" xr:uid="{00000000-0005-0000-0000-000059010000}"/>
    <cellStyle name="20% - Accent3 4 3" xfId="240" xr:uid="{00000000-0005-0000-0000-00005A010000}"/>
    <cellStyle name="20% - Accent3 4 3 2" xfId="738" xr:uid="{00000000-0005-0000-0000-00005B010000}"/>
    <cellStyle name="20% - Accent3 4 3 2 2" xfId="1730" xr:uid="{00000000-0005-0000-0000-00005C010000}"/>
    <cellStyle name="20% - Accent3 4 3 3" xfId="1234" xr:uid="{00000000-0005-0000-0000-00005D010000}"/>
    <cellStyle name="20% - Accent3 4 4" xfId="412" xr:uid="{00000000-0005-0000-0000-00005E010000}"/>
    <cellStyle name="20% - Accent3 4 4 2" xfId="908" xr:uid="{00000000-0005-0000-0000-00005F010000}"/>
    <cellStyle name="20% - Accent3 4 4 2 2" xfId="1900" xr:uid="{00000000-0005-0000-0000-000060010000}"/>
    <cellStyle name="20% - Accent3 4 4 3" xfId="1404" xr:uid="{00000000-0005-0000-0000-000061010000}"/>
    <cellStyle name="20% - Accent3 4 5" xfId="582" xr:uid="{00000000-0005-0000-0000-000062010000}"/>
    <cellStyle name="20% - Accent3 4 5 2" xfId="1574" xr:uid="{00000000-0005-0000-0000-000063010000}"/>
    <cellStyle name="20% - Accent3 4 6" xfId="1078" xr:uid="{00000000-0005-0000-0000-000064010000}"/>
    <cellStyle name="20% - Accent3 5" xfId="101" xr:uid="{00000000-0005-0000-0000-000065010000}"/>
    <cellStyle name="20% - Accent3 5 2" xfId="179" xr:uid="{00000000-0005-0000-0000-000066010000}"/>
    <cellStyle name="20% - Accent3 5 2 2" xfId="335" xr:uid="{00000000-0005-0000-0000-000067010000}"/>
    <cellStyle name="20% - Accent3 5 2 2 2" xfId="833" xr:uid="{00000000-0005-0000-0000-000068010000}"/>
    <cellStyle name="20% - Accent3 5 2 2 2 2" xfId="1825" xr:uid="{00000000-0005-0000-0000-000069010000}"/>
    <cellStyle name="20% - Accent3 5 2 2 3" xfId="1329" xr:uid="{00000000-0005-0000-0000-00006A010000}"/>
    <cellStyle name="20% - Accent3 5 2 3" xfId="507" xr:uid="{00000000-0005-0000-0000-00006B010000}"/>
    <cellStyle name="20% - Accent3 5 2 3 2" xfId="1003" xr:uid="{00000000-0005-0000-0000-00006C010000}"/>
    <cellStyle name="20% - Accent3 5 2 3 2 2" xfId="1995" xr:uid="{00000000-0005-0000-0000-00006D010000}"/>
    <cellStyle name="20% - Accent3 5 2 3 3" xfId="1499" xr:uid="{00000000-0005-0000-0000-00006E010000}"/>
    <cellStyle name="20% - Accent3 5 2 4" xfId="677" xr:uid="{00000000-0005-0000-0000-00006F010000}"/>
    <cellStyle name="20% - Accent3 5 2 4 2" xfId="1669" xr:uid="{00000000-0005-0000-0000-000070010000}"/>
    <cellStyle name="20% - Accent3 5 2 5" xfId="1173" xr:uid="{00000000-0005-0000-0000-000071010000}"/>
    <cellStyle name="20% - Accent3 5 3" xfId="257" xr:uid="{00000000-0005-0000-0000-000072010000}"/>
    <cellStyle name="20% - Accent3 5 3 2" xfId="755" xr:uid="{00000000-0005-0000-0000-000073010000}"/>
    <cellStyle name="20% - Accent3 5 3 2 2" xfId="1747" xr:uid="{00000000-0005-0000-0000-000074010000}"/>
    <cellStyle name="20% - Accent3 5 3 3" xfId="1251" xr:uid="{00000000-0005-0000-0000-000075010000}"/>
    <cellStyle name="20% - Accent3 5 4" xfId="429" xr:uid="{00000000-0005-0000-0000-000076010000}"/>
    <cellStyle name="20% - Accent3 5 4 2" xfId="925" xr:uid="{00000000-0005-0000-0000-000077010000}"/>
    <cellStyle name="20% - Accent3 5 4 2 2" xfId="1917" xr:uid="{00000000-0005-0000-0000-000078010000}"/>
    <cellStyle name="20% - Accent3 5 4 3" xfId="1421" xr:uid="{00000000-0005-0000-0000-000079010000}"/>
    <cellStyle name="20% - Accent3 5 5" xfId="599" xr:uid="{00000000-0005-0000-0000-00007A010000}"/>
    <cellStyle name="20% - Accent3 5 5 2" xfId="1591" xr:uid="{00000000-0005-0000-0000-00007B010000}"/>
    <cellStyle name="20% - Accent3 5 6" xfId="1095" xr:uid="{00000000-0005-0000-0000-00007C010000}"/>
    <cellStyle name="20% - Accent3 6" xfId="116" xr:uid="{00000000-0005-0000-0000-00007D010000}"/>
    <cellStyle name="20% - Accent3 6 2" xfId="272" xr:uid="{00000000-0005-0000-0000-00007E010000}"/>
    <cellStyle name="20% - Accent3 6 2 2" xfId="770" xr:uid="{00000000-0005-0000-0000-00007F010000}"/>
    <cellStyle name="20% - Accent3 6 2 2 2" xfId="1762" xr:uid="{00000000-0005-0000-0000-000080010000}"/>
    <cellStyle name="20% - Accent3 6 2 3" xfId="1266" xr:uid="{00000000-0005-0000-0000-000081010000}"/>
    <cellStyle name="20% - Accent3 6 3" xfId="444" xr:uid="{00000000-0005-0000-0000-000082010000}"/>
    <cellStyle name="20% - Accent3 6 3 2" xfId="940" xr:uid="{00000000-0005-0000-0000-000083010000}"/>
    <cellStyle name="20% - Accent3 6 3 2 2" xfId="1932" xr:uid="{00000000-0005-0000-0000-000084010000}"/>
    <cellStyle name="20% - Accent3 6 3 3" xfId="1436" xr:uid="{00000000-0005-0000-0000-000085010000}"/>
    <cellStyle name="20% - Accent3 6 4" xfId="614" xr:uid="{00000000-0005-0000-0000-000086010000}"/>
    <cellStyle name="20% - Accent3 6 4 2" xfId="1606" xr:uid="{00000000-0005-0000-0000-000087010000}"/>
    <cellStyle name="20% - Accent3 6 5" xfId="1110" xr:uid="{00000000-0005-0000-0000-000088010000}"/>
    <cellStyle name="20% - Accent3 7" xfId="351" xr:uid="{00000000-0005-0000-0000-000089010000}"/>
    <cellStyle name="20% - Accent3 7 2" xfId="849" xr:uid="{00000000-0005-0000-0000-00008A010000}"/>
    <cellStyle name="20% - Accent3 7 2 2" xfId="1841" xr:uid="{00000000-0005-0000-0000-00008B010000}"/>
    <cellStyle name="20% - Accent3 7 3" xfId="1345" xr:uid="{00000000-0005-0000-0000-00008C010000}"/>
    <cellStyle name="20% - Accent3 8" xfId="194" xr:uid="{00000000-0005-0000-0000-00008D010000}"/>
    <cellStyle name="20% - Accent3 8 2" xfId="692" xr:uid="{00000000-0005-0000-0000-00008E010000}"/>
    <cellStyle name="20% - Accent3 8 2 2" xfId="1684" xr:uid="{00000000-0005-0000-0000-00008F010000}"/>
    <cellStyle name="20% - Accent3 8 3" xfId="1188" xr:uid="{00000000-0005-0000-0000-000090010000}"/>
    <cellStyle name="20% - Accent3 9" xfId="366" xr:uid="{00000000-0005-0000-0000-000091010000}"/>
    <cellStyle name="20% - Accent3 9 2" xfId="862" xr:uid="{00000000-0005-0000-0000-000092010000}"/>
    <cellStyle name="20% - Accent3 9 2 2" xfId="1854" xr:uid="{00000000-0005-0000-0000-000093010000}"/>
    <cellStyle name="20% - Accent3 9 3" xfId="1358" xr:uid="{00000000-0005-0000-0000-000094010000}"/>
    <cellStyle name="20% - Accent4" xfId="31" builtinId="42" customBuiltin="1"/>
    <cellStyle name="20% - Accent4 10" xfId="525" xr:uid="{00000000-0005-0000-0000-000096010000}"/>
    <cellStyle name="20% - Accent4 10 2" xfId="1517" xr:uid="{00000000-0005-0000-0000-000097010000}"/>
    <cellStyle name="20% - Accent4 11" xfId="538" xr:uid="{00000000-0005-0000-0000-000098010000}"/>
    <cellStyle name="20% - Accent4 11 2" xfId="1530" xr:uid="{00000000-0005-0000-0000-000099010000}"/>
    <cellStyle name="20% - Accent4 12" xfId="1021" xr:uid="{00000000-0005-0000-0000-00009A010000}"/>
    <cellStyle name="20% - Accent4 13" xfId="1034" xr:uid="{00000000-0005-0000-0000-00009B010000}"/>
    <cellStyle name="20% - Accent4 14" xfId="2014" xr:uid="{00000000-0005-0000-0000-00009C010000}"/>
    <cellStyle name="20% - Accent4 15" xfId="2030" xr:uid="{00000000-0005-0000-0000-00009D010000}"/>
    <cellStyle name="20% - Accent4 16" xfId="2046" xr:uid="{00000000-0005-0000-0000-00009E010000}"/>
    <cellStyle name="20% - Accent4 17" xfId="2060" xr:uid="{00000000-0005-0000-0000-00009F010000}"/>
    <cellStyle name="20% - Accent4 18" xfId="2074" xr:uid="{00000000-0005-0000-0000-0000A0010000}"/>
    <cellStyle name="20% - Accent4 19" xfId="2088" xr:uid="{00000000-0005-0000-0000-0000A1010000}"/>
    <cellStyle name="20% - Accent4 2" xfId="51" xr:uid="{00000000-0005-0000-0000-0000A2010000}"/>
    <cellStyle name="20% - Accent4 2 2" xfId="132" xr:uid="{00000000-0005-0000-0000-0000A3010000}"/>
    <cellStyle name="20% - Accent4 2 2 2" xfId="288" xr:uid="{00000000-0005-0000-0000-0000A4010000}"/>
    <cellStyle name="20% - Accent4 2 2 2 2" xfId="786" xr:uid="{00000000-0005-0000-0000-0000A5010000}"/>
    <cellStyle name="20% - Accent4 2 2 2 2 2" xfId="1778" xr:uid="{00000000-0005-0000-0000-0000A6010000}"/>
    <cellStyle name="20% - Accent4 2 2 2 3" xfId="1282" xr:uid="{00000000-0005-0000-0000-0000A7010000}"/>
    <cellStyle name="20% - Accent4 2 2 3" xfId="460" xr:uid="{00000000-0005-0000-0000-0000A8010000}"/>
    <cellStyle name="20% - Accent4 2 2 3 2" xfId="956" xr:uid="{00000000-0005-0000-0000-0000A9010000}"/>
    <cellStyle name="20% - Accent4 2 2 3 2 2" xfId="1948" xr:uid="{00000000-0005-0000-0000-0000AA010000}"/>
    <cellStyle name="20% - Accent4 2 2 3 3" xfId="1452" xr:uid="{00000000-0005-0000-0000-0000AB010000}"/>
    <cellStyle name="20% - Accent4 2 2 4" xfId="630" xr:uid="{00000000-0005-0000-0000-0000AC010000}"/>
    <cellStyle name="20% - Accent4 2 2 4 2" xfId="1622" xr:uid="{00000000-0005-0000-0000-0000AD010000}"/>
    <cellStyle name="20% - Accent4 2 2 5" xfId="1126" xr:uid="{00000000-0005-0000-0000-0000AE010000}"/>
    <cellStyle name="20% - Accent4 2 3" xfId="210" xr:uid="{00000000-0005-0000-0000-0000AF010000}"/>
    <cellStyle name="20% - Accent4 2 3 2" xfId="708" xr:uid="{00000000-0005-0000-0000-0000B0010000}"/>
    <cellStyle name="20% - Accent4 2 3 2 2" xfId="1700" xr:uid="{00000000-0005-0000-0000-0000B1010000}"/>
    <cellStyle name="20% - Accent4 2 3 3" xfId="1204" xr:uid="{00000000-0005-0000-0000-0000B2010000}"/>
    <cellStyle name="20% - Accent4 2 4" xfId="382" xr:uid="{00000000-0005-0000-0000-0000B3010000}"/>
    <cellStyle name="20% - Accent4 2 4 2" xfId="878" xr:uid="{00000000-0005-0000-0000-0000B4010000}"/>
    <cellStyle name="20% - Accent4 2 4 2 2" xfId="1870" xr:uid="{00000000-0005-0000-0000-0000B5010000}"/>
    <cellStyle name="20% - Accent4 2 4 3" xfId="1374" xr:uid="{00000000-0005-0000-0000-0000B6010000}"/>
    <cellStyle name="20% - Accent4 2 5" xfId="552" xr:uid="{00000000-0005-0000-0000-0000B7010000}"/>
    <cellStyle name="20% - Accent4 2 5 2" xfId="1544" xr:uid="{00000000-0005-0000-0000-0000B8010000}"/>
    <cellStyle name="20% - Accent4 2 6" xfId="1048" xr:uid="{00000000-0005-0000-0000-0000B9010000}"/>
    <cellStyle name="20% - Accent4 20" xfId="2102" xr:uid="{00000000-0005-0000-0000-0000BA010000}"/>
    <cellStyle name="20% - Accent4 21" xfId="2117" xr:uid="{00000000-0005-0000-0000-0000BB010000}"/>
    <cellStyle name="20% - Accent4 3" xfId="68" xr:uid="{00000000-0005-0000-0000-0000BC010000}"/>
    <cellStyle name="20% - Accent4 3 2" xfId="147" xr:uid="{00000000-0005-0000-0000-0000BD010000}"/>
    <cellStyle name="20% - Accent4 3 2 2" xfId="303" xr:uid="{00000000-0005-0000-0000-0000BE010000}"/>
    <cellStyle name="20% - Accent4 3 2 2 2" xfId="801" xr:uid="{00000000-0005-0000-0000-0000BF010000}"/>
    <cellStyle name="20% - Accent4 3 2 2 2 2" xfId="1793" xr:uid="{00000000-0005-0000-0000-0000C0010000}"/>
    <cellStyle name="20% - Accent4 3 2 2 3" xfId="1297" xr:uid="{00000000-0005-0000-0000-0000C1010000}"/>
    <cellStyle name="20% - Accent4 3 2 3" xfId="475" xr:uid="{00000000-0005-0000-0000-0000C2010000}"/>
    <cellStyle name="20% - Accent4 3 2 3 2" xfId="971" xr:uid="{00000000-0005-0000-0000-0000C3010000}"/>
    <cellStyle name="20% - Accent4 3 2 3 2 2" xfId="1963" xr:uid="{00000000-0005-0000-0000-0000C4010000}"/>
    <cellStyle name="20% - Accent4 3 2 3 3" xfId="1467" xr:uid="{00000000-0005-0000-0000-0000C5010000}"/>
    <cellStyle name="20% - Accent4 3 2 4" xfId="645" xr:uid="{00000000-0005-0000-0000-0000C6010000}"/>
    <cellStyle name="20% - Accent4 3 2 4 2" xfId="1637" xr:uid="{00000000-0005-0000-0000-0000C7010000}"/>
    <cellStyle name="20% - Accent4 3 2 5" xfId="1141" xr:uid="{00000000-0005-0000-0000-0000C8010000}"/>
    <cellStyle name="20% - Accent4 3 3" xfId="225" xr:uid="{00000000-0005-0000-0000-0000C9010000}"/>
    <cellStyle name="20% - Accent4 3 3 2" xfId="723" xr:uid="{00000000-0005-0000-0000-0000CA010000}"/>
    <cellStyle name="20% - Accent4 3 3 2 2" xfId="1715" xr:uid="{00000000-0005-0000-0000-0000CB010000}"/>
    <cellStyle name="20% - Accent4 3 3 3" xfId="1219" xr:uid="{00000000-0005-0000-0000-0000CC010000}"/>
    <cellStyle name="20% - Accent4 3 4" xfId="397" xr:uid="{00000000-0005-0000-0000-0000CD010000}"/>
    <cellStyle name="20% - Accent4 3 4 2" xfId="893" xr:uid="{00000000-0005-0000-0000-0000CE010000}"/>
    <cellStyle name="20% - Accent4 3 4 2 2" xfId="1885" xr:uid="{00000000-0005-0000-0000-0000CF010000}"/>
    <cellStyle name="20% - Accent4 3 4 3" xfId="1389" xr:uid="{00000000-0005-0000-0000-0000D0010000}"/>
    <cellStyle name="20% - Accent4 3 5" xfId="567" xr:uid="{00000000-0005-0000-0000-0000D1010000}"/>
    <cellStyle name="20% - Accent4 3 5 2" xfId="1559" xr:uid="{00000000-0005-0000-0000-0000D2010000}"/>
    <cellStyle name="20% - Accent4 3 6" xfId="1063" xr:uid="{00000000-0005-0000-0000-0000D3010000}"/>
    <cellStyle name="20% - Accent4 4" xfId="86" xr:uid="{00000000-0005-0000-0000-0000D4010000}"/>
    <cellStyle name="20% - Accent4 4 2" xfId="164" xr:uid="{00000000-0005-0000-0000-0000D5010000}"/>
    <cellStyle name="20% - Accent4 4 2 2" xfId="320" xr:uid="{00000000-0005-0000-0000-0000D6010000}"/>
    <cellStyle name="20% - Accent4 4 2 2 2" xfId="818" xr:uid="{00000000-0005-0000-0000-0000D7010000}"/>
    <cellStyle name="20% - Accent4 4 2 2 2 2" xfId="1810" xr:uid="{00000000-0005-0000-0000-0000D8010000}"/>
    <cellStyle name="20% - Accent4 4 2 2 3" xfId="1314" xr:uid="{00000000-0005-0000-0000-0000D9010000}"/>
    <cellStyle name="20% - Accent4 4 2 3" xfId="492" xr:uid="{00000000-0005-0000-0000-0000DA010000}"/>
    <cellStyle name="20% - Accent4 4 2 3 2" xfId="988" xr:uid="{00000000-0005-0000-0000-0000DB010000}"/>
    <cellStyle name="20% - Accent4 4 2 3 2 2" xfId="1980" xr:uid="{00000000-0005-0000-0000-0000DC010000}"/>
    <cellStyle name="20% - Accent4 4 2 3 3" xfId="1484" xr:uid="{00000000-0005-0000-0000-0000DD010000}"/>
    <cellStyle name="20% - Accent4 4 2 4" xfId="662" xr:uid="{00000000-0005-0000-0000-0000DE010000}"/>
    <cellStyle name="20% - Accent4 4 2 4 2" xfId="1654" xr:uid="{00000000-0005-0000-0000-0000DF010000}"/>
    <cellStyle name="20% - Accent4 4 2 5" xfId="1158" xr:uid="{00000000-0005-0000-0000-0000E0010000}"/>
    <cellStyle name="20% - Accent4 4 3" xfId="242" xr:uid="{00000000-0005-0000-0000-0000E1010000}"/>
    <cellStyle name="20% - Accent4 4 3 2" xfId="740" xr:uid="{00000000-0005-0000-0000-0000E2010000}"/>
    <cellStyle name="20% - Accent4 4 3 2 2" xfId="1732" xr:uid="{00000000-0005-0000-0000-0000E3010000}"/>
    <cellStyle name="20% - Accent4 4 3 3" xfId="1236" xr:uid="{00000000-0005-0000-0000-0000E4010000}"/>
    <cellStyle name="20% - Accent4 4 4" xfId="414" xr:uid="{00000000-0005-0000-0000-0000E5010000}"/>
    <cellStyle name="20% - Accent4 4 4 2" xfId="910" xr:uid="{00000000-0005-0000-0000-0000E6010000}"/>
    <cellStyle name="20% - Accent4 4 4 2 2" xfId="1902" xr:uid="{00000000-0005-0000-0000-0000E7010000}"/>
    <cellStyle name="20% - Accent4 4 4 3" xfId="1406" xr:uid="{00000000-0005-0000-0000-0000E8010000}"/>
    <cellStyle name="20% - Accent4 4 5" xfId="584" xr:uid="{00000000-0005-0000-0000-0000E9010000}"/>
    <cellStyle name="20% - Accent4 4 5 2" xfId="1576" xr:uid="{00000000-0005-0000-0000-0000EA010000}"/>
    <cellStyle name="20% - Accent4 4 6" xfId="1080" xr:uid="{00000000-0005-0000-0000-0000EB010000}"/>
    <cellStyle name="20% - Accent4 5" xfId="103" xr:uid="{00000000-0005-0000-0000-0000EC010000}"/>
    <cellStyle name="20% - Accent4 5 2" xfId="181" xr:uid="{00000000-0005-0000-0000-0000ED010000}"/>
    <cellStyle name="20% - Accent4 5 2 2" xfId="337" xr:uid="{00000000-0005-0000-0000-0000EE010000}"/>
    <cellStyle name="20% - Accent4 5 2 2 2" xfId="835" xr:uid="{00000000-0005-0000-0000-0000EF010000}"/>
    <cellStyle name="20% - Accent4 5 2 2 2 2" xfId="1827" xr:uid="{00000000-0005-0000-0000-0000F0010000}"/>
    <cellStyle name="20% - Accent4 5 2 2 3" xfId="1331" xr:uid="{00000000-0005-0000-0000-0000F1010000}"/>
    <cellStyle name="20% - Accent4 5 2 3" xfId="509" xr:uid="{00000000-0005-0000-0000-0000F2010000}"/>
    <cellStyle name="20% - Accent4 5 2 3 2" xfId="1005" xr:uid="{00000000-0005-0000-0000-0000F3010000}"/>
    <cellStyle name="20% - Accent4 5 2 3 2 2" xfId="1997" xr:uid="{00000000-0005-0000-0000-0000F4010000}"/>
    <cellStyle name="20% - Accent4 5 2 3 3" xfId="1501" xr:uid="{00000000-0005-0000-0000-0000F5010000}"/>
    <cellStyle name="20% - Accent4 5 2 4" xfId="679" xr:uid="{00000000-0005-0000-0000-0000F6010000}"/>
    <cellStyle name="20% - Accent4 5 2 4 2" xfId="1671" xr:uid="{00000000-0005-0000-0000-0000F7010000}"/>
    <cellStyle name="20% - Accent4 5 2 5" xfId="1175" xr:uid="{00000000-0005-0000-0000-0000F8010000}"/>
    <cellStyle name="20% - Accent4 5 3" xfId="259" xr:uid="{00000000-0005-0000-0000-0000F9010000}"/>
    <cellStyle name="20% - Accent4 5 3 2" xfId="757" xr:uid="{00000000-0005-0000-0000-0000FA010000}"/>
    <cellStyle name="20% - Accent4 5 3 2 2" xfId="1749" xr:uid="{00000000-0005-0000-0000-0000FB010000}"/>
    <cellStyle name="20% - Accent4 5 3 3" xfId="1253" xr:uid="{00000000-0005-0000-0000-0000FC010000}"/>
    <cellStyle name="20% - Accent4 5 4" xfId="431" xr:uid="{00000000-0005-0000-0000-0000FD010000}"/>
    <cellStyle name="20% - Accent4 5 4 2" xfId="927" xr:uid="{00000000-0005-0000-0000-0000FE010000}"/>
    <cellStyle name="20% - Accent4 5 4 2 2" xfId="1919" xr:uid="{00000000-0005-0000-0000-0000FF010000}"/>
    <cellStyle name="20% - Accent4 5 4 3" xfId="1423" xr:uid="{00000000-0005-0000-0000-000000020000}"/>
    <cellStyle name="20% - Accent4 5 5" xfId="601" xr:uid="{00000000-0005-0000-0000-000001020000}"/>
    <cellStyle name="20% - Accent4 5 5 2" xfId="1593" xr:uid="{00000000-0005-0000-0000-000002020000}"/>
    <cellStyle name="20% - Accent4 5 6" xfId="1097" xr:uid="{00000000-0005-0000-0000-000003020000}"/>
    <cellStyle name="20% - Accent4 6" xfId="118" xr:uid="{00000000-0005-0000-0000-000004020000}"/>
    <cellStyle name="20% - Accent4 6 2" xfId="274" xr:uid="{00000000-0005-0000-0000-000005020000}"/>
    <cellStyle name="20% - Accent4 6 2 2" xfId="772" xr:uid="{00000000-0005-0000-0000-000006020000}"/>
    <cellStyle name="20% - Accent4 6 2 2 2" xfId="1764" xr:uid="{00000000-0005-0000-0000-000007020000}"/>
    <cellStyle name="20% - Accent4 6 2 3" xfId="1268" xr:uid="{00000000-0005-0000-0000-000008020000}"/>
    <cellStyle name="20% - Accent4 6 3" xfId="446" xr:uid="{00000000-0005-0000-0000-000009020000}"/>
    <cellStyle name="20% - Accent4 6 3 2" xfId="942" xr:uid="{00000000-0005-0000-0000-00000A020000}"/>
    <cellStyle name="20% - Accent4 6 3 2 2" xfId="1934" xr:uid="{00000000-0005-0000-0000-00000B020000}"/>
    <cellStyle name="20% - Accent4 6 3 3" xfId="1438" xr:uid="{00000000-0005-0000-0000-00000C020000}"/>
    <cellStyle name="20% - Accent4 6 4" xfId="616" xr:uid="{00000000-0005-0000-0000-00000D020000}"/>
    <cellStyle name="20% - Accent4 6 4 2" xfId="1608" xr:uid="{00000000-0005-0000-0000-00000E020000}"/>
    <cellStyle name="20% - Accent4 6 5" xfId="1112" xr:uid="{00000000-0005-0000-0000-00000F020000}"/>
    <cellStyle name="20% - Accent4 7" xfId="353" xr:uid="{00000000-0005-0000-0000-000010020000}"/>
    <cellStyle name="20% - Accent4 7 2" xfId="851" xr:uid="{00000000-0005-0000-0000-000011020000}"/>
    <cellStyle name="20% - Accent4 7 2 2" xfId="1843" xr:uid="{00000000-0005-0000-0000-000012020000}"/>
    <cellStyle name="20% - Accent4 7 3" xfId="1347" xr:uid="{00000000-0005-0000-0000-000013020000}"/>
    <cellStyle name="20% - Accent4 8" xfId="196" xr:uid="{00000000-0005-0000-0000-000014020000}"/>
    <cellStyle name="20% - Accent4 8 2" xfId="694" xr:uid="{00000000-0005-0000-0000-000015020000}"/>
    <cellStyle name="20% - Accent4 8 2 2" xfId="1686" xr:uid="{00000000-0005-0000-0000-000016020000}"/>
    <cellStyle name="20% - Accent4 8 3" xfId="1190" xr:uid="{00000000-0005-0000-0000-000017020000}"/>
    <cellStyle name="20% - Accent4 9" xfId="368" xr:uid="{00000000-0005-0000-0000-000018020000}"/>
    <cellStyle name="20% - Accent4 9 2" xfId="864" xr:uid="{00000000-0005-0000-0000-000019020000}"/>
    <cellStyle name="20% - Accent4 9 2 2" xfId="1856" xr:uid="{00000000-0005-0000-0000-00001A020000}"/>
    <cellStyle name="20% - Accent4 9 3" xfId="1360" xr:uid="{00000000-0005-0000-0000-00001B020000}"/>
    <cellStyle name="20% - Accent5" xfId="35" builtinId="46" customBuiltin="1"/>
    <cellStyle name="20% - Accent5 10" xfId="527" xr:uid="{00000000-0005-0000-0000-00001D020000}"/>
    <cellStyle name="20% - Accent5 10 2" xfId="1519" xr:uid="{00000000-0005-0000-0000-00001E020000}"/>
    <cellStyle name="20% - Accent5 11" xfId="540" xr:uid="{00000000-0005-0000-0000-00001F020000}"/>
    <cellStyle name="20% - Accent5 11 2" xfId="1532" xr:uid="{00000000-0005-0000-0000-000020020000}"/>
    <cellStyle name="20% - Accent5 12" xfId="1023" xr:uid="{00000000-0005-0000-0000-000021020000}"/>
    <cellStyle name="20% - Accent5 13" xfId="1036" xr:uid="{00000000-0005-0000-0000-000022020000}"/>
    <cellStyle name="20% - Accent5 14" xfId="2016" xr:uid="{00000000-0005-0000-0000-000023020000}"/>
    <cellStyle name="20% - Accent5 15" xfId="2032" xr:uid="{00000000-0005-0000-0000-000024020000}"/>
    <cellStyle name="20% - Accent5 16" xfId="2048" xr:uid="{00000000-0005-0000-0000-000025020000}"/>
    <cellStyle name="20% - Accent5 17" xfId="2062" xr:uid="{00000000-0005-0000-0000-000026020000}"/>
    <cellStyle name="20% - Accent5 18" xfId="2076" xr:uid="{00000000-0005-0000-0000-000027020000}"/>
    <cellStyle name="20% - Accent5 19" xfId="2090" xr:uid="{00000000-0005-0000-0000-000028020000}"/>
    <cellStyle name="20% - Accent5 2" xfId="53" xr:uid="{00000000-0005-0000-0000-000029020000}"/>
    <cellStyle name="20% - Accent5 2 2" xfId="134" xr:uid="{00000000-0005-0000-0000-00002A020000}"/>
    <cellStyle name="20% - Accent5 2 2 2" xfId="290" xr:uid="{00000000-0005-0000-0000-00002B020000}"/>
    <cellStyle name="20% - Accent5 2 2 2 2" xfId="788" xr:uid="{00000000-0005-0000-0000-00002C020000}"/>
    <cellStyle name="20% - Accent5 2 2 2 2 2" xfId="1780" xr:uid="{00000000-0005-0000-0000-00002D020000}"/>
    <cellStyle name="20% - Accent5 2 2 2 3" xfId="1284" xr:uid="{00000000-0005-0000-0000-00002E020000}"/>
    <cellStyle name="20% - Accent5 2 2 3" xfId="462" xr:uid="{00000000-0005-0000-0000-00002F020000}"/>
    <cellStyle name="20% - Accent5 2 2 3 2" xfId="958" xr:uid="{00000000-0005-0000-0000-000030020000}"/>
    <cellStyle name="20% - Accent5 2 2 3 2 2" xfId="1950" xr:uid="{00000000-0005-0000-0000-000031020000}"/>
    <cellStyle name="20% - Accent5 2 2 3 3" xfId="1454" xr:uid="{00000000-0005-0000-0000-000032020000}"/>
    <cellStyle name="20% - Accent5 2 2 4" xfId="632" xr:uid="{00000000-0005-0000-0000-000033020000}"/>
    <cellStyle name="20% - Accent5 2 2 4 2" xfId="1624" xr:uid="{00000000-0005-0000-0000-000034020000}"/>
    <cellStyle name="20% - Accent5 2 2 5" xfId="1128" xr:uid="{00000000-0005-0000-0000-000035020000}"/>
    <cellStyle name="20% - Accent5 2 3" xfId="212" xr:uid="{00000000-0005-0000-0000-000036020000}"/>
    <cellStyle name="20% - Accent5 2 3 2" xfId="710" xr:uid="{00000000-0005-0000-0000-000037020000}"/>
    <cellStyle name="20% - Accent5 2 3 2 2" xfId="1702" xr:uid="{00000000-0005-0000-0000-000038020000}"/>
    <cellStyle name="20% - Accent5 2 3 3" xfId="1206" xr:uid="{00000000-0005-0000-0000-000039020000}"/>
    <cellStyle name="20% - Accent5 2 4" xfId="384" xr:uid="{00000000-0005-0000-0000-00003A020000}"/>
    <cellStyle name="20% - Accent5 2 4 2" xfId="880" xr:uid="{00000000-0005-0000-0000-00003B020000}"/>
    <cellStyle name="20% - Accent5 2 4 2 2" xfId="1872" xr:uid="{00000000-0005-0000-0000-00003C020000}"/>
    <cellStyle name="20% - Accent5 2 4 3" xfId="1376" xr:uid="{00000000-0005-0000-0000-00003D020000}"/>
    <cellStyle name="20% - Accent5 2 5" xfId="554" xr:uid="{00000000-0005-0000-0000-00003E020000}"/>
    <cellStyle name="20% - Accent5 2 5 2" xfId="1546" xr:uid="{00000000-0005-0000-0000-00003F020000}"/>
    <cellStyle name="20% - Accent5 2 6" xfId="1050" xr:uid="{00000000-0005-0000-0000-000040020000}"/>
    <cellStyle name="20% - Accent5 20" xfId="2104" xr:uid="{00000000-0005-0000-0000-000041020000}"/>
    <cellStyle name="20% - Accent5 21" xfId="2119" xr:uid="{00000000-0005-0000-0000-000042020000}"/>
    <cellStyle name="20% - Accent5 3" xfId="70" xr:uid="{00000000-0005-0000-0000-000043020000}"/>
    <cellStyle name="20% - Accent5 3 2" xfId="149" xr:uid="{00000000-0005-0000-0000-000044020000}"/>
    <cellStyle name="20% - Accent5 3 2 2" xfId="305" xr:uid="{00000000-0005-0000-0000-000045020000}"/>
    <cellStyle name="20% - Accent5 3 2 2 2" xfId="803" xr:uid="{00000000-0005-0000-0000-000046020000}"/>
    <cellStyle name="20% - Accent5 3 2 2 2 2" xfId="1795" xr:uid="{00000000-0005-0000-0000-000047020000}"/>
    <cellStyle name="20% - Accent5 3 2 2 3" xfId="1299" xr:uid="{00000000-0005-0000-0000-000048020000}"/>
    <cellStyle name="20% - Accent5 3 2 3" xfId="477" xr:uid="{00000000-0005-0000-0000-000049020000}"/>
    <cellStyle name="20% - Accent5 3 2 3 2" xfId="973" xr:uid="{00000000-0005-0000-0000-00004A020000}"/>
    <cellStyle name="20% - Accent5 3 2 3 2 2" xfId="1965" xr:uid="{00000000-0005-0000-0000-00004B020000}"/>
    <cellStyle name="20% - Accent5 3 2 3 3" xfId="1469" xr:uid="{00000000-0005-0000-0000-00004C020000}"/>
    <cellStyle name="20% - Accent5 3 2 4" xfId="647" xr:uid="{00000000-0005-0000-0000-00004D020000}"/>
    <cellStyle name="20% - Accent5 3 2 4 2" xfId="1639" xr:uid="{00000000-0005-0000-0000-00004E020000}"/>
    <cellStyle name="20% - Accent5 3 2 5" xfId="1143" xr:uid="{00000000-0005-0000-0000-00004F020000}"/>
    <cellStyle name="20% - Accent5 3 3" xfId="227" xr:uid="{00000000-0005-0000-0000-000050020000}"/>
    <cellStyle name="20% - Accent5 3 3 2" xfId="725" xr:uid="{00000000-0005-0000-0000-000051020000}"/>
    <cellStyle name="20% - Accent5 3 3 2 2" xfId="1717" xr:uid="{00000000-0005-0000-0000-000052020000}"/>
    <cellStyle name="20% - Accent5 3 3 3" xfId="1221" xr:uid="{00000000-0005-0000-0000-000053020000}"/>
    <cellStyle name="20% - Accent5 3 4" xfId="399" xr:uid="{00000000-0005-0000-0000-000054020000}"/>
    <cellStyle name="20% - Accent5 3 4 2" xfId="895" xr:uid="{00000000-0005-0000-0000-000055020000}"/>
    <cellStyle name="20% - Accent5 3 4 2 2" xfId="1887" xr:uid="{00000000-0005-0000-0000-000056020000}"/>
    <cellStyle name="20% - Accent5 3 4 3" xfId="1391" xr:uid="{00000000-0005-0000-0000-000057020000}"/>
    <cellStyle name="20% - Accent5 3 5" xfId="569" xr:uid="{00000000-0005-0000-0000-000058020000}"/>
    <cellStyle name="20% - Accent5 3 5 2" xfId="1561" xr:uid="{00000000-0005-0000-0000-000059020000}"/>
    <cellStyle name="20% - Accent5 3 6" xfId="1065" xr:uid="{00000000-0005-0000-0000-00005A020000}"/>
    <cellStyle name="20% - Accent5 4" xfId="88" xr:uid="{00000000-0005-0000-0000-00005B020000}"/>
    <cellStyle name="20% - Accent5 4 2" xfId="166" xr:uid="{00000000-0005-0000-0000-00005C020000}"/>
    <cellStyle name="20% - Accent5 4 2 2" xfId="322" xr:uid="{00000000-0005-0000-0000-00005D020000}"/>
    <cellStyle name="20% - Accent5 4 2 2 2" xfId="820" xr:uid="{00000000-0005-0000-0000-00005E020000}"/>
    <cellStyle name="20% - Accent5 4 2 2 2 2" xfId="1812" xr:uid="{00000000-0005-0000-0000-00005F020000}"/>
    <cellStyle name="20% - Accent5 4 2 2 3" xfId="1316" xr:uid="{00000000-0005-0000-0000-000060020000}"/>
    <cellStyle name="20% - Accent5 4 2 3" xfId="494" xr:uid="{00000000-0005-0000-0000-000061020000}"/>
    <cellStyle name="20% - Accent5 4 2 3 2" xfId="990" xr:uid="{00000000-0005-0000-0000-000062020000}"/>
    <cellStyle name="20% - Accent5 4 2 3 2 2" xfId="1982" xr:uid="{00000000-0005-0000-0000-000063020000}"/>
    <cellStyle name="20% - Accent5 4 2 3 3" xfId="1486" xr:uid="{00000000-0005-0000-0000-000064020000}"/>
    <cellStyle name="20% - Accent5 4 2 4" xfId="664" xr:uid="{00000000-0005-0000-0000-000065020000}"/>
    <cellStyle name="20% - Accent5 4 2 4 2" xfId="1656" xr:uid="{00000000-0005-0000-0000-000066020000}"/>
    <cellStyle name="20% - Accent5 4 2 5" xfId="1160" xr:uid="{00000000-0005-0000-0000-000067020000}"/>
    <cellStyle name="20% - Accent5 4 3" xfId="244" xr:uid="{00000000-0005-0000-0000-000068020000}"/>
    <cellStyle name="20% - Accent5 4 3 2" xfId="742" xr:uid="{00000000-0005-0000-0000-000069020000}"/>
    <cellStyle name="20% - Accent5 4 3 2 2" xfId="1734" xr:uid="{00000000-0005-0000-0000-00006A020000}"/>
    <cellStyle name="20% - Accent5 4 3 3" xfId="1238" xr:uid="{00000000-0005-0000-0000-00006B020000}"/>
    <cellStyle name="20% - Accent5 4 4" xfId="416" xr:uid="{00000000-0005-0000-0000-00006C020000}"/>
    <cellStyle name="20% - Accent5 4 4 2" xfId="912" xr:uid="{00000000-0005-0000-0000-00006D020000}"/>
    <cellStyle name="20% - Accent5 4 4 2 2" xfId="1904" xr:uid="{00000000-0005-0000-0000-00006E020000}"/>
    <cellStyle name="20% - Accent5 4 4 3" xfId="1408" xr:uid="{00000000-0005-0000-0000-00006F020000}"/>
    <cellStyle name="20% - Accent5 4 5" xfId="586" xr:uid="{00000000-0005-0000-0000-000070020000}"/>
    <cellStyle name="20% - Accent5 4 5 2" xfId="1578" xr:uid="{00000000-0005-0000-0000-000071020000}"/>
    <cellStyle name="20% - Accent5 4 6" xfId="1082" xr:uid="{00000000-0005-0000-0000-000072020000}"/>
    <cellStyle name="20% - Accent5 5" xfId="105" xr:uid="{00000000-0005-0000-0000-000073020000}"/>
    <cellStyle name="20% - Accent5 5 2" xfId="183" xr:uid="{00000000-0005-0000-0000-000074020000}"/>
    <cellStyle name="20% - Accent5 5 2 2" xfId="339" xr:uid="{00000000-0005-0000-0000-000075020000}"/>
    <cellStyle name="20% - Accent5 5 2 2 2" xfId="837" xr:uid="{00000000-0005-0000-0000-000076020000}"/>
    <cellStyle name="20% - Accent5 5 2 2 2 2" xfId="1829" xr:uid="{00000000-0005-0000-0000-000077020000}"/>
    <cellStyle name="20% - Accent5 5 2 2 3" xfId="1333" xr:uid="{00000000-0005-0000-0000-000078020000}"/>
    <cellStyle name="20% - Accent5 5 2 3" xfId="511" xr:uid="{00000000-0005-0000-0000-000079020000}"/>
    <cellStyle name="20% - Accent5 5 2 3 2" xfId="1007" xr:uid="{00000000-0005-0000-0000-00007A020000}"/>
    <cellStyle name="20% - Accent5 5 2 3 2 2" xfId="1999" xr:uid="{00000000-0005-0000-0000-00007B020000}"/>
    <cellStyle name="20% - Accent5 5 2 3 3" xfId="1503" xr:uid="{00000000-0005-0000-0000-00007C020000}"/>
    <cellStyle name="20% - Accent5 5 2 4" xfId="681" xr:uid="{00000000-0005-0000-0000-00007D020000}"/>
    <cellStyle name="20% - Accent5 5 2 4 2" xfId="1673" xr:uid="{00000000-0005-0000-0000-00007E020000}"/>
    <cellStyle name="20% - Accent5 5 2 5" xfId="1177" xr:uid="{00000000-0005-0000-0000-00007F020000}"/>
    <cellStyle name="20% - Accent5 5 3" xfId="261" xr:uid="{00000000-0005-0000-0000-000080020000}"/>
    <cellStyle name="20% - Accent5 5 3 2" xfId="759" xr:uid="{00000000-0005-0000-0000-000081020000}"/>
    <cellStyle name="20% - Accent5 5 3 2 2" xfId="1751" xr:uid="{00000000-0005-0000-0000-000082020000}"/>
    <cellStyle name="20% - Accent5 5 3 3" xfId="1255" xr:uid="{00000000-0005-0000-0000-000083020000}"/>
    <cellStyle name="20% - Accent5 5 4" xfId="433" xr:uid="{00000000-0005-0000-0000-000084020000}"/>
    <cellStyle name="20% - Accent5 5 4 2" xfId="929" xr:uid="{00000000-0005-0000-0000-000085020000}"/>
    <cellStyle name="20% - Accent5 5 4 2 2" xfId="1921" xr:uid="{00000000-0005-0000-0000-000086020000}"/>
    <cellStyle name="20% - Accent5 5 4 3" xfId="1425" xr:uid="{00000000-0005-0000-0000-000087020000}"/>
    <cellStyle name="20% - Accent5 5 5" xfId="603" xr:uid="{00000000-0005-0000-0000-000088020000}"/>
    <cellStyle name="20% - Accent5 5 5 2" xfId="1595" xr:uid="{00000000-0005-0000-0000-000089020000}"/>
    <cellStyle name="20% - Accent5 5 6" xfId="1099" xr:uid="{00000000-0005-0000-0000-00008A020000}"/>
    <cellStyle name="20% - Accent5 6" xfId="120" xr:uid="{00000000-0005-0000-0000-00008B020000}"/>
    <cellStyle name="20% - Accent5 6 2" xfId="276" xr:uid="{00000000-0005-0000-0000-00008C020000}"/>
    <cellStyle name="20% - Accent5 6 2 2" xfId="774" xr:uid="{00000000-0005-0000-0000-00008D020000}"/>
    <cellStyle name="20% - Accent5 6 2 2 2" xfId="1766" xr:uid="{00000000-0005-0000-0000-00008E020000}"/>
    <cellStyle name="20% - Accent5 6 2 3" xfId="1270" xr:uid="{00000000-0005-0000-0000-00008F020000}"/>
    <cellStyle name="20% - Accent5 6 3" xfId="448" xr:uid="{00000000-0005-0000-0000-000090020000}"/>
    <cellStyle name="20% - Accent5 6 3 2" xfId="944" xr:uid="{00000000-0005-0000-0000-000091020000}"/>
    <cellStyle name="20% - Accent5 6 3 2 2" xfId="1936" xr:uid="{00000000-0005-0000-0000-000092020000}"/>
    <cellStyle name="20% - Accent5 6 3 3" xfId="1440" xr:uid="{00000000-0005-0000-0000-000093020000}"/>
    <cellStyle name="20% - Accent5 6 4" xfId="618" xr:uid="{00000000-0005-0000-0000-000094020000}"/>
    <cellStyle name="20% - Accent5 6 4 2" xfId="1610" xr:uid="{00000000-0005-0000-0000-000095020000}"/>
    <cellStyle name="20% - Accent5 6 5" xfId="1114" xr:uid="{00000000-0005-0000-0000-000096020000}"/>
    <cellStyle name="20% - Accent5 7" xfId="355" xr:uid="{00000000-0005-0000-0000-000097020000}"/>
    <cellStyle name="20% - Accent5 7 2" xfId="853" xr:uid="{00000000-0005-0000-0000-000098020000}"/>
    <cellStyle name="20% - Accent5 7 2 2" xfId="1845" xr:uid="{00000000-0005-0000-0000-000099020000}"/>
    <cellStyle name="20% - Accent5 7 3" xfId="1349" xr:uid="{00000000-0005-0000-0000-00009A020000}"/>
    <cellStyle name="20% - Accent5 8" xfId="198" xr:uid="{00000000-0005-0000-0000-00009B020000}"/>
    <cellStyle name="20% - Accent5 8 2" xfId="696" xr:uid="{00000000-0005-0000-0000-00009C020000}"/>
    <cellStyle name="20% - Accent5 8 2 2" xfId="1688" xr:uid="{00000000-0005-0000-0000-00009D020000}"/>
    <cellStyle name="20% - Accent5 8 3" xfId="1192" xr:uid="{00000000-0005-0000-0000-00009E020000}"/>
    <cellStyle name="20% - Accent5 9" xfId="370" xr:uid="{00000000-0005-0000-0000-00009F020000}"/>
    <cellStyle name="20% - Accent5 9 2" xfId="866" xr:uid="{00000000-0005-0000-0000-0000A0020000}"/>
    <cellStyle name="20% - Accent5 9 2 2" xfId="1858" xr:uid="{00000000-0005-0000-0000-0000A1020000}"/>
    <cellStyle name="20% - Accent5 9 3" xfId="1362" xr:uid="{00000000-0005-0000-0000-0000A2020000}"/>
    <cellStyle name="20% - Accent6" xfId="39" builtinId="50" customBuiltin="1"/>
    <cellStyle name="20% - Accent6 10" xfId="529" xr:uid="{00000000-0005-0000-0000-0000A4020000}"/>
    <cellStyle name="20% - Accent6 10 2" xfId="1521" xr:uid="{00000000-0005-0000-0000-0000A5020000}"/>
    <cellStyle name="20% - Accent6 11" xfId="542" xr:uid="{00000000-0005-0000-0000-0000A6020000}"/>
    <cellStyle name="20% - Accent6 11 2" xfId="1534" xr:uid="{00000000-0005-0000-0000-0000A7020000}"/>
    <cellStyle name="20% - Accent6 12" xfId="1025" xr:uid="{00000000-0005-0000-0000-0000A8020000}"/>
    <cellStyle name="20% - Accent6 13" xfId="1038" xr:uid="{00000000-0005-0000-0000-0000A9020000}"/>
    <cellStyle name="20% - Accent6 14" xfId="2018" xr:uid="{00000000-0005-0000-0000-0000AA020000}"/>
    <cellStyle name="20% - Accent6 15" xfId="2034" xr:uid="{00000000-0005-0000-0000-0000AB020000}"/>
    <cellStyle name="20% - Accent6 16" xfId="2050" xr:uid="{00000000-0005-0000-0000-0000AC020000}"/>
    <cellStyle name="20% - Accent6 17" xfId="2064" xr:uid="{00000000-0005-0000-0000-0000AD020000}"/>
    <cellStyle name="20% - Accent6 18" xfId="2078" xr:uid="{00000000-0005-0000-0000-0000AE020000}"/>
    <cellStyle name="20% - Accent6 19" xfId="2092" xr:uid="{00000000-0005-0000-0000-0000AF020000}"/>
    <cellStyle name="20% - Accent6 2" xfId="55" xr:uid="{00000000-0005-0000-0000-0000B0020000}"/>
    <cellStyle name="20% - Accent6 2 2" xfId="136" xr:uid="{00000000-0005-0000-0000-0000B1020000}"/>
    <cellStyle name="20% - Accent6 2 2 2" xfId="292" xr:uid="{00000000-0005-0000-0000-0000B2020000}"/>
    <cellStyle name="20% - Accent6 2 2 2 2" xfId="790" xr:uid="{00000000-0005-0000-0000-0000B3020000}"/>
    <cellStyle name="20% - Accent6 2 2 2 2 2" xfId="1782" xr:uid="{00000000-0005-0000-0000-0000B4020000}"/>
    <cellStyle name="20% - Accent6 2 2 2 3" xfId="1286" xr:uid="{00000000-0005-0000-0000-0000B5020000}"/>
    <cellStyle name="20% - Accent6 2 2 3" xfId="464" xr:uid="{00000000-0005-0000-0000-0000B6020000}"/>
    <cellStyle name="20% - Accent6 2 2 3 2" xfId="960" xr:uid="{00000000-0005-0000-0000-0000B7020000}"/>
    <cellStyle name="20% - Accent6 2 2 3 2 2" xfId="1952" xr:uid="{00000000-0005-0000-0000-0000B8020000}"/>
    <cellStyle name="20% - Accent6 2 2 3 3" xfId="1456" xr:uid="{00000000-0005-0000-0000-0000B9020000}"/>
    <cellStyle name="20% - Accent6 2 2 4" xfId="634" xr:uid="{00000000-0005-0000-0000-0000BA020000}"/>
    <cellStyle name="20% - Accent6 2 2 4 2" xfId="1626" xr:uid="{00000000-0005-0000-0000-0000BB020000}"/>
    <cellStyle name="20% - Accent6 2 2 5" xfId="1130" xr:uid="{00000000-0005-0000-0000-0000BC020000}"/>
    <cellStyle name="20% - Accent6 2 3" xfId="214" xr:uid="{00000000-0005-0000-0000-0000BD020000}"/>
    <cellStyle name="20% - Accent6 2 3 2" xfId="712" xr:uid="{00000000-0005-0000-0000-0000BE020000}"/>
    <cellStyle name="20% - Accent6 2 3 2 2" xfId="1704" xr:uid="{00000000-0005-0000-0000-0000BF020000}"/>
    <cellStyle name="20% - Accent6 2 3 3" xfId="1208" xr:uid="{00000000-0005-0000-0000-0000C0020000}"/>
    <cellStyle name="20% - Accent6 2 4" xfId="386" xr:uid="{00000000-0005-0000-0000-0000C1020000}"/>
    <cellStyle name="20% - Accent6 2 4 2" xfId="882" xr:uid="{00000000-0005-0000-0000-0000C2020000}"/>
    <cellStyle name="20% - Accent6 2 4 2 2" xfId="1874" xr:uid="{00000000-0005-0000-0000-0000C3020000}"/>
    <cellStyle name="20% - Accent6 2 4 3" xfId="1378" xr:uid="{00000000-0005-0000-0000-0000C4020000}"/>
    <cellStyle name="20% - Accent6 2 5" xfId="556" xr:uid="{00000000-0005-0000-0000-0000C5020000}"/>
    <cellStyle name="20% - Accent6 2 5 2" xfId="1548" xr:uid="{00000000-0005-0000-0000-0000C6020000}"/>
    <cellStyle name="20% - Accent6 2 6" xfId="1052" xr:uid="{00000000-0005-0000-0000-0000C7020000}"/>
    <cellStyle name="20% - Accent6 20" xfId="2106" xr:uid="{00000000-0005-0000-0000-0000C8020000}"/>
    <cellStyle name="20% - Accent6 21" xfId="2121" xr:uid="{00000000-0005-0000-0000-0000C9020000}"/>
    <cellStyle name="20% - Accent6 3" xfId="72" xr:uid="{00000000-0005-0000-0000-0000CA020000}"/>
    <cellStyle name="20% - Accent6 3 2" xfId="151" xr:uid="{00000000-0005-0000-0000-0000CB020000}"/>
    <cellStyle name="20% - Accent6 3 2 2" xfId="307" xr:uid="{00000000-0005-0000-0000-0000CC020000}"/>
    <cellStyle name="20% - Accent6 3 2 2 2" xfId="805" xr:uid="{00000000-0005-0000-0000-0000CD020000}"/>
    <cellStyle name="20% - Accent6 3 2 2 2 2" xfId="1797" xr:uid="{00000000-0005-0000-0000-0000CE020000}"/>
    <cellStyle name="20% - Accent6 3 2 2 3" xfId="1301" xr:uid="{00000000-0005-0000-0000-0000CF020000}"/>
    <cellStyle name="20% - Accent6 3 2 3" xfId="479" xr:uid="{00000000-0005-0000-0000-0000D0020000}"/>
    <cellStyle name="20% - Accent6 3 2 3 2" xfId="975" xr:uid="{00000000-0005-0000-0000-0000D1020000}"/>
    <cellStyle name="20% - Accent6 3 2 3 2 2" xfId="1967" xr:uid="{00000000-0005-0000-0000-0000D2020000}"/>
    <cellStyle name="20% - Accent6 3 2 3 3" xfId="1471" xr:uid="{00000000-0005-0000-0000-0000D3020000}"/>
    <cellStyle name="20% - Accent6 3 2 4" xfId="649" xr:uid="{00000000-0005-0000-0000-0000D4020000}"/>
    <cellStyle name="20% - Accent6 3 2 4 2" xfId="1641" xr:uid="{00000000-0005-0000-0000-0000D5020000}"/>
    <cellStyle name="20% - Accent6 3 2 5" xfId="1145" xr:uid="{00000000-0005-0000-0000-0000D6020000}"/>
    <cellStyle name="20% - Accent6 3 3" xfId="229" xr:uid="{00000000-0005-0000-0000-0000D7020000}"/>
    <cellStyle name="20% - Accent6 3 3 2" xfId="727" xr:uid="{00000000-0005-0000-0000-0000D8020000}"/>
    <cellStyle name="20% - Accent6 3 3 2 2" xfId="1719" xr:uid="{00000000-0005-0000-0000-0000D9020000}"/>
    <cellStyle name="20% - Accent6 3 3 3" xfId="1223" xr:uid="{00000000-0005-0000-0000-0000DA020000}"/>
    <cellStyle name="20% - Accent6 3 4" xfId="401" xr:uid="{00000000-0005-0000-0000-0000DB020000}"/>
    <cellStyle name="20% - Accent6 3 4 2" xfId="897" xr:uid="{00000000-0005-0000-0000-0000DC020000}"/>
    <cellStyle name="20% - Accent6 3 4 2 2" xfId="1889" xr:uid="{00000000-0005-0000-0000-0000DD020000}"/>
    <cellStyle name="20% - Accent6 3 4 3" xfId="1393" xr:uid="{00000000-0005-0000-0000-0000DE020000}"/>
    <cellStyle name="20% - Accent6 3 5" xfId="571" xr:uid="{00000000-0005-0000-0000-0000DF020000}"/>
    <cellStyle name="20% - Accent6 3 5 2" xfId="1563" xr:uid="{00000000-0005-0000-0000-0000E0020000}"/>
    <cellStyle name="20% - Accent6 3 6" xfId="1067" xr:uid="{00000000-0005-0000-0000-0000E1020000}"/>
    <cellStyle name="20% - Accent6 4" xfId="90" xr:uid="{00000000-0005-0000-0000-0000E2020000}"/>
    <cellStyle name="20% - Accent6 4 2" xfId="168" xr:uid="{00000000-0005-0000-0000-0000E3020000}"/>
    <cellStyle name="20% - Accent6 4 2 2" xfId="324" xr:uid="{00000000-0005-0000-0000-0000E4020000}"/>
    <cellStyle name="20% - Accent6 4 2 2 2" xfId="822" xr:uid="{00000000-0005-0000-0000-0000E5020000}"/>
    <cellStyle name="20% - Accent6 4 2 2 2 2" xfId="1814" xr:uid="{00000000-0005-0000-0000-0000E6020000}"/>
    <cellStyle name="20% - Accent6 4 2 2 3" xfId="1318" xr:uid="{00000000-0005-0000-0000-0000E7020000}"/>
    <cellStyle name="20% - Accent6 4 2 3" xfId="496" xr:uid="{00000000-0005-0000-0000-0000E8020000}"/>
    <cellStyle name="20% - Accent6 4 2 3 2" xfId="992" xr:uid="{00000000-0005-0000-0000-0000E9020000}"/>
    <cellStyle name="20% - Accent6 4 2 3 2 2" xfId="1984" xr:uid="{00000000-0005-0000-0000-0000EA020000}"/>
    <cellStyle name="20% - Accent6 4 2 3 3" xfId="1488" xr:uid="{00000000-0005-0000-0000-0000EB020000}"/>
    <cellStyle name="20% - Accent6 4 2 4" xfId="666" xr:uid="{00000000-0005-0000-0000-0000EC020000}"/>
    <cellStyle name="20% - Accent6 4 2 4 2" xfId="1658" xr:uid="{00000000-0005-0000-0000-0000ED020000}"/>
    <cellStyle name="20% - Accent6 4 2 5" xfId="1162" xr:uid="{00000000-0005-0000-0000-0000EE020000}"/>
    <cellStyle name="20% - Accent6 4 3" xfId="246" xr:uid="{00000000-0005-0000-0000-0000EF020000}"/>
    <cellStyle name="20% - Accent6 4 3 2" xfId="744" xr:uid="{00000000-0005-0000-0000-0000F0020000}"/>
    <cellStyle name="20% - Accent6 4 3 2 2" xfId="1736" xr:uid="{00000000-0005-0000-0000-0000F1020000}"/>
    <cellStyle name="20% - Accent6 4 3 3" xfId="1240" xr:uid="{00000000-0005-0000-0000-0000F2020000}"/>
    <cellStyle name="20% - Accent6 4 4" xfId="418" xr:uid="{00000000-0005-0000-0000-0000F3020000}"/>
    <cellStyle name="20% - Accent6 4 4 2" xfId="914" xr:uid="{00000000-0005-0000-0000-0000F4020000}"/>
    <cellStyle name="20% - Accent6 4 4 2 2" xfId="1906" xr:uid="{00000000-0005-0000-0000-0000F5020000}"/>
    <cellStyle name="20% - Accent6 4 4 3" xfId="1410" xr:uid="{00000000-0005-0000-0000-0000F6020000}"/>
    <cellStyle name="20% - Accent6 4 5" xfId="588" xr:uid="{00000000-0005-0000-0000-0000F7020000}"/>
    <cellStyle name="20% - Accent6 4 5 2" xfId="1580" xr:uid="{00000000-0005-0000-0000-0000F8020000}"/>
    <cellStyle name="20% - Accent6 4 6" xfId="1084" xr:uid="{00000000-0005-0000-0000-0000F9020000}"/>
    <cellStyle name="20% - Accent6 5" xfId="107" xr:uid="{00000000-0005-0000-0000-0000FA020000}"/>
    <cellStyle name="20% - Accent6 5 2" xfId="185" xr:uid="{00000000-0005-0000-0000-0000FB020000}"/>
    <cellStyle name="20% - Accent6 5 2 2" xfId="341" xr:uid="{00000000-0005-0000-0000-0000FC020000}"/>
    <cellStyle name="20% - Accent6 5 2 2 2" xfId="839" xr:uid="{00000000-0005-0000-0000-0000FD020000}"/>
    <cellStyle name="20% - Accent6 5 2 2 2 2" xfId="1831" xr:uid="{00000000-0005-0000-0000-0000FE020000}"/>
    <cellStyle name="20% - Accent6 5 2 2 3" xfId="1335" xr:uid="{00000000-0005-0000-0000-0000FF020000}"/>
    <cellStyle name="20% - Accent6 5 2 3" xfId="513" xr:uid="{00000000-0005-0000-0000-000000030000}"/>
    <cellStyle name="20% - Accent6 5 2 3 2" xfId="1009" xr:uid="{00000000-0005-0000-0000-000001030000}"/>
    <cellStyle name="20% - Accent6 5 2 3 2 2" xfId="2001" xr:uid="{00000000-0005-0000-0000-000002030000}"/>
    <cellStyle name="20% - Accent6 5 2 3 3" xfId="1505" xr:uid="{00000000-0005-0000-0000-000003030000}"/>
    <cellStyle name="20% - Accent6 5 2 4" xfId="683" xr:uid="{00000000-0005-0000-0000-000004030000}"/>
    <cellStyle name="20% - Accent6 5 2 4 2" xfId="1675" xr:uid="{00000000-0005-0000-0000-000005030000}"/>
    <cellStyle name="20% - Accent6 5 2 5" xfId="1179" xr:uid="{00000000-0005-0000-0000-000006030000}"/>
    <cellStyle name="20% - Accent6 5 3" xfId="263" xr:uid="{00000000-0005-0000-0000-000007030000}"/>
    <cellStyle name="20% - Accent6 5 3 2" xfId="761" xr:uid="{00000000-0005-0000-0000-000008030000}"/>
    <cellStyle name="20% - Accent6 5 3 2 2" xfId="1753" xr:uid="{00000000-0005-0000-0000-000009030000}"/>
    <cellStyle name="20% - Accent6 5 3 3" xfId="1257" xr:uid="{00000000-0005-0000-0000-00000A030000}"/>
    <cellStyle name="20% - Accent6 5 4" xfId="435" xr:uid="{00000000-0005-0000-0000-00000B030000}"/>
    <cellStyle name="20% - Accent6 5 4 2" xfId="931" xr:uid="{00000000-0005-0000-0000-00000C030000}"/>
    <cellStyle name="20% - Accent6 5 4 2 2" xfId="1923" xr:uid="{00000000-0005-0000-0000-00000D030000}"/>
    <cellStyle name="20% - Accent6 5 4 3" xfId="1427" xr:uid="{00000000-0005-0000-0000-00000E030000}"/>
    <cellStyle name="20% - Accent6 5 5" xfId="605" xr:uid="{00000000-0005-0000-0000-00000F030000}"/>
    <cellStyle name="20% - Accent6 5 5 2" xfId="1597" xr:uid="{00000000-0005-0000-0000-000010030000}"/>
    <cellStyle name="20% - Accent6 5 6" xfId="1101" xr:uid="{00000000-0005-0000-0000-000011030000}"/>
    <cellStyle name="20% - Accent6 6" xfId="122" xr:uid="{00000000-0005-0000-0000-000012030000}"/>
    <cellStyle name="20% - Accent6 6 2" xfId="278" xr:uid="{00000000-0005-0000-0000-000013030000}"/>
    <cellStyle name="20% - Accent6 6 2 2" xfId="776" xr:uid="{00000000-0005-0000-0000-000014030000}"/>
    <cellStyle name="20% - Accent6 6 2 2 2" xfId="1768" xr:uid="{00000000-0005-0000-0000-000015030000}"/>
    <cellStyle name="20% - Accent6 6 2 3" xfId="1272" xr:uid="{00000000-0005-0000-0000-000016030000}"/>
    <cellStyle name="20% - Accent6 6 3" xfId="450" xr:uid="{00000000-0005-0000-0000-000017030000}"/>
    <cellStyle name="20% - Accent6 6 3 2" xfId="946" xr:uid="{00000000-0005-0000-0000-000018030000}"/>
    <cellStyle name="20% - Accent6 6 3 2 2" xfId="1938" xr:uid="{00000000-0005-0000-0000-000019030000}"/>
    <cellStyle name="20% - Accent6 6 3 3" xfId="1442" xr:uid="{00000000-0005-0000-0000-00001A030000}"/>
    <cellStyle name="20% - Accent6 6 4" xfId="620" xr:uid="{00000000-0005-0000-0000-00001B030000}"/>
    <cellStyle name="20% - Accent6 6 4 2" xfId="1612" xr:uid="{00000000-0005-0000-0000-00001C030000}"/>
    <cellStyle name="20% - Accent6 6 5" xfId="1116" xr:uid="{00000000-0005-0000-0000-00001D030000}"/>
    <cellStyle name="20% - Accent6 7" xfId="357" xr:uid="{00000000-0005-0000-0000-00001E030000}"/>
    <cellStyle name="20% - Accent6 7 2" xfId="855" xr:uid="{00000000-0005-0000-0000-00001F030000}"/>
    <cellStyle name="20% - Accent6 7 2 2" xfId="1847" xr:uid="{00000000-0005-0000-0000-000020030000}"/>
    <cellStyle name="20% - Accent6 7 3" xfId="1351" xr:uid="{00000000-0005-0000-0000-000021030000}"/>
    <cellStyle name="20% - Accent6 8" xfId="200" xr:uid="{00000000-0005-0000-0000-000022030000}"/>
    <cellStyle name="20% - Accent6 8 2" xfId="698" xr:uid="{00000000-0005-0000-0000-000023030000}"/>
    <cellStyle name="20% - Accent6 8 2 2" xfId="1690" xr:uid="{00000000-0005-0000-0000-000024030000}"/>
    <cellStyle name="20% - Accent6 8 3" xfId="1194" xr:uid="{00000000-0005-0000-0000-000025030000}"/>
    <cellStyle name="20% - Accent6 9" xfId="372" xr:uid="{00000000-0005-0000-0000-000026030000}"/>
    <cellStyle name="20% - Accent6 9 2" xfId="868" xr:uid="{00000000-0005-0000-0000-000027030000}"/>
    <cellStyle name="20% - Accent6 9 2 2" xfId="1860" xr:uid="{00000000-0005-0000-0000-000028030000}"/>
    <cellStyle name="20% - Accent6 9 3" xfId="1364" xr:uid="{00000000-0005-0000-0000-000029030000}"/>
    <cellStyle name="40% - Accent1" xfId="20" builtinId="31" customBuiltin="1"/>
    <cellStyle name="40% - Accent1 10" xfId="520" xr:uid="{00000000-0005-0000-0000-00002B030000}"/>
    <cellStyle name="40% - Accent1 10 2" xfId="1512" xr:uid="{00000000-0005-0000-0000-00002C030000}"/>
    <cellStyle name="40% - Accent1 11" xfId="533" xr:uid="{00000000-0005-0000-0000-00002D030000}"/>
    <cellStyle name="40% - Accent1 11 2" xfId="1525" xr:uid="{00000000-0005-0000-0000-00002E030000}"/>
    <cellStyle name="40% - Accent1 12" xfId="1016" xr:uid="{00000000-0005-0000-0000-00002F030000}"/>
    <cellStyle name="40% - Accent1 13" xfId="1029" xr:uid="{00000000-0005-0000-0000-000030030000}"/>
    <cellStyle name="40% - Accent1 14" xfId="2009" xr:uid="{00000000-0005-0000-0000-000031030000}"/>
    <cellStyle name="40% - Accent1 15" xfId="2025" xr:uid="{00000000-0005-0000-0000-000032030000}"/>
    <cellStyle name="40% - Accent1 16" xfId="2041" xr:uid="{00000000-0005-0000-0000-000033030000}"/>
    <cellStyle name="40% - Accent1 17" xfId="2055" xr:uid="{00000000-0005-0000-0000-000034030000}"/>
    <cellStyle name="40% - Accent1 18" xfId="2069" xr:uid="{00000000-0005-0000-0000-000035030000}"/>
    <cellStyle name="40% - Accent1 19" xfId="2083" xr:uid="{00000000-0005-0000-0000-000036030000}"/>
    <cellStyle name="40% - Accent1 2" xfId="46" xr:uid="{00000000-0005-0000-0000-000037030000}"/>
    <cellStyle name="40% - Accent1 2 2" xfId="127" xr:uid="{00000000-0005-0000-0000-000038030000}"/>
    <cellStyle name="40% - Accent1 2 2 2" xfId="283" xr:uid="{00000000-0005-0000-0000-000039030000}"/>
    <cellStyle name="40% - Accent1 2 2 2 2" xfId="781" xr:uid="{00000000-0005-0000-0000-00003A030000}"/>
    <cellStyle name="40% - Accent1 2 2 2 2 2" xfId="1773" xr:uid="{00000000-0005-0000-0000-00003B030000}"/>
    <cellStyle name="40% - Accent1 2 2 2 3" xfId="1277" xr:uid="{00000000-0005-0000-0000-00003C030000}"/>
    <cellStyle name="40% - Accent1 2 2 3" xfId="455" xr:uid="{00000000-0005-0000-0000-00003D030000}"/>
    <cellStyle name="40% - Accent1 2 2 3 2" xfId="951" xr:uid="{00000000-0005-0000-0000-00003E030000}"/>
    <cellStyle name="40% - Accent1 2 2 3 2 2" xfId="1943" xr:uid="{00000000-0005-0000-0000-00003F030000}"/>
    <cellStyle name="40% - Accent1 2 2 3 3" xfId="1447" xr:uid="{00000000-0005-0000-0000-000040030000}"/>
    <cellStyle name="40% - Accent1 2 2 4" xfId="625" xr:uid="{00000000-0005-0000-0000-000041030000}"/>
    <cellStyle name="40% - Accent1 2 2 4 2" xfId="1617" xr:uid="{00000000-0005-0000-0000-000042030000}"/>
    <cellStyle name="40% - Accent1 2 2 5" xfId="1121" xr:uid="{00000000-0005-0000-0000-000043030000}"/>
    <cellStyle name="40% - Accent1 2 3" xfId="205" xr:uid="{00000000-0005-0000-0000-000044030000}"/>
    <cellStyle name="40% - Accent1 2 3 2" xfId="703" xr:uid="{00000000-0005-0000-0000-000045030000}"/>
    <cellStyle name="40% - Accent1 2 3 2 2" xfId="1695" xr:uid="{00000000-0005-0000-0000-000046030000}"/>
    <cellStyle name="40% - Accent1 2 3 3" xfId="1199" xr:uid="{00000000-0005-0000-0000-000047030000}"/>
    <cellStyle name="40% - Accent1 2 4" xfId="377" xr:uid="{00000000-0005-0000-0000-000048030000}"/>
    <cellStyle name="40% - Accent1 2 4 2" xfId="873" xr:uid="{00000000-0005-0000-0000-000049030000}"/>
    <cellStyle name="40% - Accent1 2 4 2 2" xfId="1865" xr:uid="{00000000-0005-0000-0000-00004A030000}"/>
    <cellStyle name="40% - Accent1 2 4 3" xfId="1369" xr:uid="{00000000-0005-0000-0000-00004B030000}"/>
    <cellStyle name="40% - Accent1 2 5" xfId="547" xr:uid="{00000000-0005-0000-0000-00004C030000}"/>
    <cellStyle name="40% - Accent1 2 5 2" xfId="1539" xr:uid="{00000000-0005-0000-0000-00004D030000}"/>
    <cellStyle name="40% - Accent1 2 6" xfId="1043" xr:uid="{00000000-0005-0000-0000-00004E030000}"/>
    <cellStyle name="40% - Accent1 20" xfId="2097" xr:uid="{00000000-0005-0000-0000-00004F030000}"/>
    <cellStyle name="40% - Accent1 21" xfId="2112" xr:uid="{00000000-0005-0000-0000-000050030000}"/>
    <cellStyle name="40% - Accent1 3" xfId="63" xr:uid="{00000000-0005-0000-0000-000051030000}"/>
    <cellStyle name="40% - Accent1 3 2" xfId="142" xr:uid="{00000000-0005-0000-0000-000052030000}"/>
    <cellStyle name="40% - Accent1 3 2 2" xfId="298" xr:uid="{00000000-0005-0000-0000-000053030000}"/>
    <cellStyle name="40% - Accent1 3 2 2 2" xfId="796" xr:uid="{00000000-0005-0000-0000-000054030000}"/>
    <cellStyle name="40% - Accent1 3 2 2 2 2" xfId="1788" xr:uid="{00000000-0005-0000-0000-000055030000}"/>
    <cellStyle name="40% - Accent1 3 2 2 3" xfId="1292" xr:uid="{00000000-0005-0000-0000-000056030000}"/>
    <cellStyle name="40% - Accent1 3 2 3" xfId="470" xr:uid="{00000000-0005-0000-0000-000057030000}"/>
    <cellStyle name="40% - Accent1 3 2 3 2" xfId="966" xr:uid="{00000000-0005-0000-0000-000058030000}"/>
    <cellStyle name="40% - Accent1 3 2 3 2 2" xfId="1958" xr:uid="{00000000-0005-0000-0000-000059030000}"/>
    <cellStyle name="40% - Accent1 3 2 3 3" xfId="1462" xr:uid="{00000000-0005-0000-0000-00005A030000}"/>
    <cellStyle name="40% - Accent1 3 2 4" xfId="640" xr:uid="{00000000-0005-0000-0000-00005B030000}"/>
    <cellStyle name="40% - Accent1 3 2 4 2" xfId="1632" xr:uid="{00000000-0005-0000-0000-00005C030000}"/>
    <cellStyle name="40% - Accent1 3 2 5" xfId="1136" xr:uid="{00000000-0005-0000-0000-00005D030000}"/>
    <cellStyle name="40% - Accent1 3 3" xfId="220" xr:uid="{00000000-0005-0000-0000-00005E030000}"/>
    <cellStyle name="40% - Accent1 3 3 2" xfId="718" xr:uid="{00000000-0005-0000-0000-00005F030000}"/>
    <cellStyle name="40% - Accent1 3 3 2 2" xfId="1710" xr:uid="{00000000-0005-0000-0000-000060030000}"/>
    <cellStyle name="40% - Accent1 3 3 3" xfId="1214" xr:uid="{00000000-0005-0000-0000-000061030000}"/>
    <cellStyle name="40% - Accent1 3 4" xfId="392" xr:uid="{00000000-0005-0000-0000-000062030000}"/>
    <cellStyle name="40% - Accent1 3 4 2" xfId="888" xr:uid="{00000000-0005-0000-0000-000063030000}"/>
    <cellStyle name="40% - Accent1 3 4 2 2" xfId="1880" xr:uid="{00000000-0005-0000-0000-000064030000}"/>
    <cellStyle name="40% - Accent1 3 4 3" xfId="1384" xr:uid="{00000000-0005-0000-0000-000065030000}"/>
    <cellStyle name="40% - Accent1 3 5" xfId="562" xr:uid="{00000000-0005-0000-0000-000066030000}"/>
    <cellStyle name="40% - Accent1 3 5 2" xfId="1554" xr:uid="{00000000-0005-0000-0000-000067030000}"/>
    <cellStyle name="40% - Accent1 3 6" xfId="1058" xr:uid="{00000000-0005-0000-0000-000068030000}"/>
    <cellStyle name="40% - Accent1 4" xfId="81" xr:uid="{00000000-0005-0000-0000-000069030000}"/>
    <cellStyle name="40% - Accent1 4 2" xfId="159" xr:uid="{00000000-0005-0000-0000-00006A030000}"/>
    <cellStyle name="40% - Accent1 4 2 2" xfId="315" xr:uid="{00000000-0005-0000-0000-00006B030000}"/>
    <cellStyle name="40% - Accent1 4 2 2 2" xfId="813" xr:uid="{00000000-0005-0000-0000-00006C030000}"/>
    <cellStyle name="40% - Accent1 4 2 2 2 2" xfId="1805" xr:uid="{00000000-0005-0000-0000-00006D030000}"/>
    <cellStyle name="40% - Accent1 4 2 2 3" xfId="1309" xr:uid="{00000000-0005-0000-0000-00006E030000}"/>
    <cellStyle name="40% - Accent1 4 2 3" xfId="487" xr:uid="{00000000-0005-0000-0000-00006F030000}"/>
    <cellStyle name="40% - Accent1 4 2 3 2" xfId="983" xr:uid="{00000000-0005-0000-0000-000070030000}"/>
    <cellStyle name="40% - Accent1 4 2 3 2 2" xfId="1975" xr:uid="{00000000-0005-0000-0000-000071030000}"/>
    <cellStyle name="40% - Accent1 4 2 3 3" xfId="1479" xr:uid="{00000000-0005-0000-0000-000072030000}"/>
    <cellStyle name="40% - Accent1 4 2 4" xfId="657" xr:uid="{00000000-0005-0000-0000-000073030000}"/>
    <cellStyle name="40% - Accent1 4 2 4 2" xfId="1649" xr:uid="{00000000-0005-0000-0000-000074030000}"/>
    <cellStyle name="40% - Accent1 4 2 5" xfId="1153" xr:uid="{00000000-0005-0000-0000-000075030000}"/>
    <cellStyle name="40% - Accent1 4 3" xfId="237" xr:uid="{00000000-0005-0000-0000-000076030000}"/>
    <cellStyle name="40% - Accent1 4 3 2" xfId="735" xr:uid="{00000000-0005-0000-0000-000077030000}"/>
    <cellStyle name="40% - Accent1 4 3 2 2" xfId="1727" xr:uid="{00000000-0005-0000-0000-000078030000}"/>
    <cellStyle name="40% - Accent1 4 3 3" xfId="1231" xr:uid="{00000000-0005-0000-0000-000079030000}"/>
    <cellStyle name="40% - Accent1 4 4" xfId="409" xr:uid="{00000000-0005-0000-0000-00007A030000}"/>
    <cellStyle name="40% - Accent1 4 4 2" xfId="905" xr:uid="{00000000-0005-0000-0000-00007B030000}"/>
    <cellStyle name="40% - Accent1 4 4 2 2" xfId="1897" xr:uid="{00000000-0005-0000-0000-00007C030000}"/>
    <cellStyle name="40% - Accent1 4 4 3" xfId="1401" xr:uid="{00000000-0005-0000-0000-00007D030000}"/>
    <cellStyle name="40% - Accent1 4 5" xfId="579" xr:uid="{00000000-0005-0000-0000-00007E030000}"/>
    <cellStyle name="40% - Accent1 4 5 2" xfId="1571" xr:uid="{00000000-0005-0000-0000-00007F030000}"/>
    <cellStyle name="40% - Accent1 4 6" xfId="1075" xr:uid="{00000000-0005-0000-0000-000080030000}"/>
    <cellStyle name="40% - Accent1 5" xfId="98" xr:uid="{00000000-0005-0000-0000-000081030000}"/>
    <cellStyle name="40% - Accent1 5 2" xfId="176" xr:uid="{00000000-0005-0000-0000-000082030000}"/>
    <cellStyle name="40% - Accent1 5 2 2" xfId="332" xr:uid="{00000000-0005-0000-0000-000083030000}"/>
    <cellStyle name="40% - Accent1 5 2 2 2" xfId="830" xr:uid="{00000000-0005-0000-0000-000084030000}"/>
    <cellStyle name="40% - Accent1 5 2 2 2 2" xfId="1822" xr:uid="{00000000-0005-0000-0000-000085030000}"/>
    <cellStyle name="40% - Accent1 5 2 2 3" xfId="1326" xr:uid="{00000000-0005-0000-0000-000086030000}"/>
    <cellStyle name="40% - Accent1 5 2 3" xfId="504" xr:uid="{00000000-0005-0000-0000-000087030000}"/>
    <cellStyle name="40% - Accent1 5 2 3 2" xfId="1000" xr:uid="{00000000-0005-0000-0000-000088030000}"/>
    <cellStyle name="40% - Accent1 5 2 3 2 2" xfId="1992" xr:uid="{00000000-0005-0000-0000-000089030000}"/>
    <cellStyle name="40% - Accent1 5 2 3 3" xfId="1496" xr:uid="{00000000-0005-0000-0000-00008A030000}"/>
    <cellStyle name="40% - Accent1 5 2 4" xfId="674" xr:uid="{00000000-0005-0000-0000-00008B030000}"/>
    <cellStyle name="40% - Accent1 5 2 4 2" xfId="1666" xr:uid="{00000000-0005-0000-0000-00008C030000}"/>
    <cellStyle name="40% - Accent1 5 2 5" xfId="1170" xr:uid="{00000000-0005-0000-0000-00008D030000}"/>
    <cellStyle name="40% - Accent1 5 3" xfId="254" xr:uid="{00000000-0005-0000-0000-00008E030000}"/>
    <cellStyle name="40% - Accent1 5 3 2" xfId="752" xr:uid="{00000000-0005-0000-0000-00008F030000}"/>
    <cellStyle name="40% - Accent1 5 3 2 2" xfId="1744" xr:uid="{00000000-0005-0000-0000-000090030000}"/>
    <cellStyle name="40% - Accent1 5 3 3" xfId="1248" xr:uid="{00000000-0005-0000-0000-000091030000}"/>
    <cellStyle name="40% - Accent1 5 4" xfId="426" xr:uid="{00000000-0005-0000-0000-000092030000}"/>
    <cellStyle name="40% - Accent1 5 4 2" xfId="922" xr:uid="{00000000-0005-0000-0000-000093030000}"/>
    <cellStyle name="40% - Accent1 5 4 2 2" xfId="1914" xr:uid="{00000000-0005-0000-0000-000094030000}"/>
    <cellStyle name="40% - Accent1 5 4 3" xfId="1418" xr:uid="{00000000-0005-0000-0000-000095030000}"/>
    <cellStyle name="40% - Accent1 5 5" xfId="596" xr:uid="{00000000-0005-0000-0000-000096030000}"/>
    <cellStyle name="40% - Accent1 5 5 2" xfId="1588" xr:uid="{00000000-0005-0000-0000-000097030000}"/>
    <cellStyle name="40% - Accent1 5 6" xfId="1092" xr:uid="{00000000-0005-0000-0000-000098030000}"/>
    <cellStyle name="40% - Accent1 6" xfId="113" xr:uid="{00000000-0005-0000-0000-000099030000}"/>
    <cellStyle name="40% - Accent1 6 2" xfId="269" xr:uid="{00000000-0005-0000-0000-00009A030000}"/>
    <cellStyle name="40% - Accent1 6 2 2" xfId="767" xr:uid="{00000000-0005-0000-0000-00009B030000}"/>
    <cellStyle name="40% - Accent1 6 2 2 2" xfId="1759" xr:uid="{00000000-0005-0000-0000-00009C030000}"/>
    <cellStyle name="40% - Accent1 6 2 3" xfId="1263" xr:uid="{00000000-0005-0000-0000-00009D030000}"/>
    <cellStyle name="40% - Accent1 6 3" xfId="441" xr:uid="{00000000-0005-0000-0000-00009E030000}"/>
    <cellStyle name="40% - Accent1 6 3 2" xfId="937" xr:uid="{00000000-0005-0000-0000-00009F030000}"/>
    <cellStyle name="40% - Accent1 6 3 2 2" xfId="1929" xr:uid="{00000000-0005-0000-0000-0000A0030000}"/>
    <cellStyle name="40% - Accent1 6 3 3" xfId="1433" xr:uid="{00000000-0005-0000-0000-0000A1030000}"/>
    <cellStyle name="40% - Accent1 6 4" xfId="611" xr:uid="{00000000-0005-0000-0000-0000A2030000}"/>
    <cellStyle name="40% - Accent1 6 4 2" xfId="1603" xr:uid="{00000000-0005-0000-0000-0000A3030000}"/>
    <cellStyle name="40% - Accent1 6 5" xfId="1107" xr:uid="{00000000-0005-0000-0000-0000A4030000}"/>
    <cellStyle name="40% - Accent1 7" xfId="348" xr:uid="{00000000-0005-0000-0000-0000A5030000}"/>
    <cellStyle name="40% - Accent1 7 2" xfId="846" xr:uid="{00000000-0005-0000-0000-0000A6030000}"/>
    <cellStyle name="40% - Accent1 7 2 2" xfId="1838" xr:uid="{00000000-0005-0000-0000-0000A7030000}"/>
    <cellStyle name="40% - Accent1 7 3" xfId="1342" xr:uid="{00000000-0005-0000-0000-0000A8030000}"/>
    <cellStyle name="40% - Accent1 8" xfId="191" xr:uid="{00000000-0005-0000-0000-0000A9030000}"/>
    <cellStyle name="40% - Accent1 8 2" xfId="689" xr:uid="{00000000-0005-0000-0000-0000AA030000}"/>
    <cellStyle name="40% - Accent1 8 2 2" xfId="1681" xr:uid="{00000000-0005-0000-0000-0000AB030000}"/>
    <cellStyle name="40% - Accent1 8 3" xfId="1185" xr:uid="{00000000-0005-0000-0000-0000AC030000}"/>
    <cellStyle name="40% - Accent1 9" xfId="363" xr:uid="{00000000-0005-0000-0000-0000AD030000}"/>
    <cellStyle name="40% - Accent1 9 2" xfId="859" xr:uid="{00000000-0005-0000-0000-0000AE030000}"/>
    <cellStyle name="40% - Accent1 9 2 2" xfId="1851" xr:uid="{00000000-0005-0000-0000-0000AF030000}"/>
    <cellStyle name="40% - Accent1 9 3" xfId="1355" xr:uid="{00000000-0005-0000-0000-0000B0030000}"/>
    <cellStyle name="40% - Accent2" xfId="24" builtinId="35" customBuiltin="1"/>
    <cellStyle name="40% - Accent2 10" xfId="522" xr:uid="{00000000-0005-0000-0000-0000B2030000}"/>
    <cellStyle name="40% - Accent2 10 2" xfId="1514" xr:uid="{00000000-0005-0000-0000-0000B3030000}"/>
    <cellStyle name="40% - Accent2 11" xfId="535" xr:uid="{00000000-0005-0000-0000-0000B4030000}"/>
    <cellStyle name="40% - Accent2 11 2" xfId="1527" xr:uid="{00000000-0005-0000-0000-0000B5030000}"/>
    <cellStyle name="40% - Accent2 12" xfId="1018" xr:uid="{00000000-0005-0000-0000-0000B6030000}"/>
    <cellStyle name="40% - Accent2 13" xfId="1031" xr:uid="{00000000-0005-0000-0000-0000B7030000}"/>
    <cellStyle name="40% - Accent2 14" xfId="2011" xr:uid="{00000000-0005-0000-0000-0000B8030000}"/>
    <cellStyle name="40% - Accent2 15" xfId="2027" xr:uid="{00000000-0005-0000-0000-0000B9030000}"/>
    <cellStyle name="40% - Accent2 16" xfId="2043" xr:uid="{00000000-0005-0000-0000-0000BA030000}"/>
    <cellStyle name="40% - Accent2 17" xfId="2057" xr:uid="{00000000-0005-0000-0000-0000BB030000}"/>
    <cellStyle name="40% - Accent2 18" xfId="2071" xr:uid="{00000000-0005-0000-0000-0000BC030000}"/>
    <cellStyle name="40% - Accent2 19" xfId="2085" xr:uid="{00000000-0005-0000-0000-0000BD030000}"/>
    <cellStyle name="40% - Accent2 2" xfId="48" xr:uid="{00000000-0005-0000-0000-0000BE030000}"/>
    <cellStyle name="40% - Accent2 2 2" xfId="129" xr:uid="{00000000-0005-0000-0000-0000BF030000}"/>
    <cellStyle name="40% - Accent2 2 2 2" xfId="285" xr:uid="{00000000-0005-0000-0000-0000C0030000}"/>
    <cellStyle name="40% - Accent2 2 2 2 2" xfId="783" xr:uid="{00000000-0005-0000-0000-0000C1030000}"/>
    <cellStyle name="40% - Accent2 2 2 2 2 2" xfId="1775" xr:uid="{00000000-0005-0000-0000-0000C2030000}"/>
    <cellStyle name="40% - Accent2 2 2 2 3" xfId="1279" xr:uid="{00000000-0005-0000-0000-0000C3030000}"/>
    <cellStyle name="40% - Accent2 2 2 3" xfId="457" xr:uid="{00000000-0005-0000-0000-0000C4030000}"/>
    <cellStyle name="40% - Accent2 2 2 3 2" xfId="953" xr:uid="{00000000-0005-0000-0000-0000C5030000}"/>
    <cellStyle name="40% - Accent2 2 2 3 2 2" xfId="1945" xr:uid="{00000000-0005-0000-0000-0000C6030000}"/>
    <cellStyle name="40% - Accent2 2 2 3 3" xfId="1449" xr:uid="{00000000-0005-0000-0000-0000C7030000}"/>
    <cellStyle name="40% - Accent2 2 2 4" xfId="627" xr:uid="{00000000-0005-0000-0000-0000C8030000}"/>
    <cellStyle name="40% - Accent2 2 2 4 2" xfId="1619" xr:uid="{00000000-0005-0000-0000-0000C9030000}"/>
    <cellStyle name="40% - Accent2 2 2 5" xfId="1123" xr:uid="{00000000-0005-0000-0000-0000CA030000}"/>
    <cellStyle name="40% - Accent2 2 3" xfId="207" xr:uid="{00000000-0005-0000-0000-0000CB030000}"/>
    <cellStyle name="40% - Accent2 2 3 2" xfId="705" xr:uid="{00000000-0005-0000-0000-0000CC030000}"/>
    <cellStyle name="40% - Accent2 2 3 2 2" xfId="1697" xr:uid="{00000000-0005-0000-0000-0000CD030000}"/>
    <cellStyle name="40% - Accent2 2 3 3" xfId="1201" xr:uid="{00000000-0005-0000-0000-0000CE030000}"/>
    <cellStyle name="40% - Accent2 2 4" xfId="379" xr:uid="{00000000-0005-0000-0000-0000CF030000}"/>
    <cellStyle name="40% - Accent2 2 4 2" xfId="875" xr:uid="{00000000-0005-0000-0000-0000D0030000}"/>
    <cellStyle name="40% - Accent2 2 4 2 2" xfId="1867" xr:uid="{00000000-0005-0000-0000-0000D1030000}"/>
    <cellStyle name="40% - Accent2 2 4 3" xfId="1371" xr:uid="{00000000-0005-0000-0000-0000D2030000}"/>
    <cellStyle name="40% - Accent2 2 5" xfId="549" xr:uid="{00000000-0005-0000-0000-0000D3030000}"/>
    <cellStyle name="40% - Accent2 2 5 2" xfId="1541" xr:uid="{00000000-0005-0000-0000-0000D4030000}"/>
    <cellStyle name="40% - Accent2 2 6" xfId="1045" xr:uid="{00000000-0005-0000-0000-0000D5030000}"/>
    <cellStyle name="40% - Accent2 20" xfId="2099" xr:uid="{00000000-0005-0000-0000-0000D6030000}"/>
    <cellStyle name="40% - Accent2 21" xfId="2114" xr:uid="{00000000-0005-0000-0000-0000D7030000}"/>
    <cellStyle name="40% - Accent2 3" xfId="65" xr:uid="{00000000-0005-0000-0000-0000D8030000}"/>
    <cellStyle name="40% - Accent2 3 2" xfId="144" xr:uid="{00000000-0005-0000-0000-0000D9030000}"/>
    <cellStyle name="40% - Accent2 3 2 2" xfId="300" xr:uid="{00000000-0005-0000-0000-0000DA030000}"/>
    <cellStyle name="40% - Accent2 3 2 2 2" xfId="798" xr:uid="{00000000-0005-0000-0000-0000DB030000}"/>
    <cellStyle name="40% - Accent2 3 2 2 2 2" xfId="1790" xr:uid="{00000000-0005-0000-0000-0000DC030000}"/>
    <cellStyle name="40% - Accent2 3 2 2 3" xfId="1294" xr:uid="{00000000-0005-0000-0000-0000DD030000}"/>
    <cellStyle name="40% - Accent2 3 2 3" xfId="472" xr:uid="{00000000-0005-0000-0000-0000DE030000}"/>
    <cellStyle name="40% - Accent2 3 2 3 2" xfId="968" xr:uid="{00000000-0005-0000-0000-0000DF030000}"/>
    <cellStyle name="40% - Accent2 3 2 3 2 2" xfId="1960" xr:uid="{00000000-0005-0000-0000-0000E0030000}"/>
    <cellStyle name="40% - Accent2 3 2 3 3" xfId="1464" xr:uid="{00000000-0005-0000-0000-0000E1030000}"/>
    <cellStyle name="40% - Accent2 3 2 4" xfId="642" xr:uid="{00000000-0005-0000-0000-0000E2030000}"/>
    <cellStyle name="40% - Accent2 3 2 4 2" xfId="1634" xr:uid="{00000000-0005-0000-0000-0000E3030000}"/>
    <cellStyle name="40% - Accent2 3 2 5" xfId="1138" xr:uid="{00000000-0005-0000-0000-0000E4030000}"/>
    <cellStyle name="40% - Accent2 3 3" xfId="222" xr:uid="{00000000-0005-0000-0000-0000E5030000}"/>
    <cellStyle name="40% - Accent2 3 3 2" xfId="720" xr:uid="{00000000-0005-0000-0000-0000E6030000}"/>
    <cellStyle name="40% - Accent2 3 3 2 2" xfId="1712" xr:uid="{00000000-0005-0000-0000-0000E7030000}"/>
    <cellStyle name="40% - Accent2 3 3 3" xfId="1216" xr:uid="{00000000-0005-0000-0000-0000E8030000}"/>
    <cellStyle name="40% - Accent2 3 4" xfId="394" xr:uid="{00000000-0005-0000-0000-0000E9030000}"/>
    <cellStyle name="40% - Accent2 3 4 2" xfId="890" xr:uid="{00000000-0005-0000-0000-0000EA030000}"/>
    <cellStyle name="40% - Accent2 3 4 2 2" xfId="1882" xr:uid="{00000000-0005-0000-0000-0000EB030000}"/>
    <cellStyle name="40% - Accent2 3 4 3" xfId="1386" xr:uid="{00000000-0005-0000-0000-0000EC030000}"/>
    <cellStyle name="40% - Accent2 3 5" xfId="564" xr:uid="{00000000-0005-0000-0000-0000ED030000}"/>
    <cellStyle name="40% - Accent2 3 5 2" xfId="1556" xr:uid="{00000000-0005-0000-0000-0000EE030000}"/>
    <cellStyle name="40% - Accent2 3 6" xfId="1060" xr:uid="{00000000-0005-0000-0000-0000EF030000}"/>
    <cellStyle name="40% - Accent2 4" xfId="83" xr:uid="{00000000-0005-0000-0000-0000F0030000}"/>
    <cellStyle name="40% - Accent2 4 2" xfId="161" xr:uid="{00000000-0005-0000-0000-0000F1030000}"/>
    <cellStyle name="40% - Accent2 4 2 2" xfId="317" xr:uid="{00000000-0005-0000-0000-0000F2030000}"/>
    <cellStyle name="40% - Accent2 4 2 2 2" xfId="815" xr:uid="{00000000-0005-0000-0000-0000F3030000}"/>
    <cellStyle name="40% - Accent2 4 2 2 2 2" xfId="1807" xr:uid="{00000000-0005-0000-0000-0000F4030000}"/>
    <cellStyle name="40% - Accent2 4 2 2 3" xfId="1311" xr:uid="{00000000-0005-0000-0000-0000F5030000}"/>
    <cellStyle name="40% - Accent2 4 2 3" xfId="489" xr:uid="{00000000-0005-0000-0000-0000F6030000}"/>
    <cellStyle name="40% - Accent2 4 2 3 2" xfId="985" xr:uid="{00000000-0005-0000-0000-0000F7030000}"/>
    <cellStyle name="40% - Accent2 4 2 3 2 2" xfId="1977" xr:uid="{00000000-0005-0000-0000-0000F8030000}"/>
    <cellStyle name="40% - Accent2 4 2 3 3" xfId="1481" xr:uid="{00000000-0005-0000-0000-0000F9030000}"/>
    <cellStyle name="40% - Accent2 4 2 4" xfId="659" xr:uid="{00000000-0005-0000-0000-0000FA030000}"/>
    <cellStyle name="40% - Accent2 4 2 4 2" xfId="1651" xr:uid="{00000000-0005-0000-0000-0000FB030000}"/>
    <cellStyle name="40% - Accent2 4 2 5" xfId="1155" xr:uid="{00000000-0005-0000-0000-0000FC030000}"/>
    <cellStyle name="40% - Accent2 4 3" xfId="239" xr:uid="{00000000-0005-0000-0000-0000FD030000}"/>
    <cellStyle name="40% - Accent2 4 3 2" xfId="737" xr:uid="{00000000-0005-0000-0000-0000FE030000}"/>
    <cellStyle name="40% - Accent2 4 3 2 2" xfId="1729" xr:uid="{00000000-0005-0000-0000-0000FF030000}"/>
    <cellStyle name="40% - Accent2 4 3 3" xfId="1233" xr:uid="{00000000-0005-0000-0000-000000040000}"/>
    <cellStyle name="40% - Accent2 4 4" xfId="411" xr:uid="{00000000-0005-0000-0000-000001040000}"/>
    <cellStyle name="40% - Accent2 4 4 2" xfId="907" xr:uid="{00000000-0005-0000-0000-000002040000}"/>
    <cellStyle name="40% - Accent2 4 4 2 2" xfId="1899" xr:uid="{00000000-0005-0000-0000-000003040000}"/>
    <cellStyle name="40% - Accent2 4 4 3" xfId="1403" xr:uid="{00000000-0005-0000-0000-000004040000}"/>
    <cellStyle name="40% - Accent2 4 5" xfId="581" xr:uid="{00000000-0005-0000-0000-000005040000}"/>
    <cellStyle name="40% - Accent2 4 5 2" xfId="1573" xr:uid="{00000000-0005-0000-0000-000006040000}"/>
    <cellStyle name="40% - Accent2 4 6" xfId="1077" xr:uid="{00000000-0005-0000-0000-000007040000}"/>
    <cellStyle name="40% - Accent2 5" xfId="100" xr:uid="{00000000-0005-0000-0000-000008040000}"/>
    <cellStyle name="40% - Accent2 5 2" xfId="178" xr:uid="{00000000-0005-0000-0000-000009040000}"/>
    <cellStyle name="40% - Accent2 5 2 2" xfId="334" xr:uid="{00000000-0005-0000-0000-00000A040000}"/>
    <cellStyle name="40% - Accent2 5 2 2 2" xfId="832" xr:uid="{00000000-0005-0000-0000-00000B040000}"/>
    <cellStyle name="40% - Accent2 5 2 2 2 2" xfId="1824" xr:uid="{00000000-0005-0000-0000-00000C040000}"/>
    <cellStyle name="40% - Accent2 5 2 2 3" xfId="1328" xr:uid="{00000000-0005-0000-0000-00000D040000}"/>
    <cellStyle name="40% - Accent2 5 2 3" xfId="506" xr:uid="{00000000-0005-0000-0000-00000E040000}"/>
    <cellStyle name="40% - Accent2 5 2 3 2" xfId="1002" xr:uid="{00000000-0005-0000-0000-00000F040000}"/>
    <cellStyle name="40% - Accent2 5 2 3 2 2" xfId="1994" xr:uid="{00000000-0005-0000-0000-000010040000}"/>
    <cellStyle name="40% - Accent2 5 2 3 3" xfId="1498" xr:uid="{00000000-0005-0000-0000-000011040000}"/>
    <cellStyle name="40% - Accent2 5 2 4" xfId="676" xr:uid="{00000000-0005-0000-0000-000012040000}"/>
    <cellStyle name="40% - Accent2 5 2 4 2" xfId="1668" xr:uid="{00000000-0005-0000-0000-000013040000}"/>
    <cellStyle name="40% - Accent2 5 2 5" xfId="1172" xr:uid="{00000000-0005-0000-0000-000014040000}"/>
    <cellStyle name="40% - Accent2 5 3" xfId="256" xr:uid="{00000000-0005-0000-0000-000015040000}"/>
    <cellStyle name="40% - Accent2 5 3 2" xfId="754" xr:uid="{00000000-0005-0000-0000-000016040000}"/>
    <cellStyle name="40% - Accent2 5 3 2 2" xfId="1746" xr:uid="{00000000-0005-0000-0000-000017040000}"/>
    <cellStyle name="40% - Accent2 5 3 3" xfId="1250" xr:uid="{00000000-0005-0000-0000-000018040000}"/>
    <cellStyle name="40% - Accent2 5 4" xfId="428" xr:uid="{00000000-0005-0000-0000-000019040000}"/>
    <cellStyle name="40% - Accent2 5 4 2" xfId="924" xr:uid="{00000000-0005-0000-0000-00001A040000}"/>
    <cellStyle name="40% - Accent2 5 4 2 2" xfId="1916" xr:uid="{00000000-0005-0000-0000-00001B040000}"/>
    <cellStyle name="40% - Accent2 5 4 3" xfId="1420" xr:uid="{00000000-0005-0000-0000-00001C040000}"/>
    <cellStyle name="40% - Accent2 5 5" xfId="598" xr:uid="{00000000-0005-0000-0000-00001D040000}"/>
    <cellStyle name="40% - Accent2 5 5 2" xfId="1590" xr:uid="{00000000-0005-0000-0000-00001E040000}"/>
    <cellStyle name="40% - Accent2 5 6" xfId="1094" xr:uid="{00000000-0005-0000-0000-00001F040000}"/>
    <cellStyle name="40% - Accent2 6" xfId="115" xr:uid="{00000000-0005-0000-0000-000020040000}"/>
    <cellStyle name="40% - Accent2 6 2" xfId="271" xr:uid="{00000000-0005-0000-0000-000021040000}"/>
    <cellStyle name="40% - Accent2 6 2 2" xfId="769" xr:uid="{00000000-0005-0000-0000-000022040000}"/>
    <cellStyle name="40% - Accent2 6 2 2 2" xfId="1761" xr:uid="{00000000-0005-0000-0000-000023040000}"/>
    <cellStyle name="40% - Accent2 6 2 3" xfId="1265" xr:uid="{00000000-0005-0000-0000-000024040000}"/>
    <cellStyle name="40% - Accent2 6 3" xfId="443" xr:uid="{00000000-0005-0000-0000-000025040000}"/>
    <cellStyle name="40% - Accent2 6 3 2" xfId="939" xr:uid="{00000000-0005-0000-0000-000026040000}"/>
    <cellStyle name="40% - Accent2 6 3 2 2" xfId="1931" xr:uid="{00000000-0005-0000-0000-000027040000}"/>
    <cellStyle name="40% - Accent2 6 3 3" xfId="1435" xr:uid="{00000000-0005-0000-0000-000028040000}"/>
    <cellStyle name="40% - Accent2 6 4" xfId="613" xr:uid="{00000000-0005-0000-0000-000029040000}"/>
    <cellStyle name="40% - Accent2 6 4 2" xfId="1605" xr:uid="{00000000-0005-0000-0000-00002A040000}"/>
    <cellStyle name="40% - Accent2 6 5" xfId="1109" xr:uid="{00000000-0005-0000-0000-00002B040000}"/>
    <cellStyle name="40% - Accent2 7" xfId="350" xr:uid="{00000000-0005-0000-0000-00002C040000}"/>
    <cellStyle name="40% - Accent2 7 2" xfId="848" xr:uid="{00000000-0005-0000-0000-00002D040000}"/>
    <cellStyle name="40% - Accent2 7 2 2" xfId="1840" xr:uid="{00000000-0005-0000-0000-00002E040000}"/>
    <cellStyle name="40% - Accent2 7 3" xfId="1344" xr:uid="{00000000-0005-0000-0000-00002F040000}"/>
    <cellStyle name="40% - Accent2 8" xfId="193" xr:uid="{00000000-0005-0000-0000-000030040000}"/>
    <cellStyle name="40% - Accent2 8 2" xfId="691" xr:uid="{00000000-0005-0000-0000-000031040000}"/>
    <cellStyle name="40% - Accent2 8 2 2" xfId="1683" xr:uid="{00000000-0005-0000-0000-000032040000}"/>
    <cellStyle name="40% - Accent2 8 3" xfId="1187" xr:uid="{00000000-0005-0000-0000-000033040000}"/>
    <cellStyle name="40% - Accent2 9" xfId="365" xr:uid="{00000000-0005-0000-0000-000034040000}"/>
    <cellStyle name="40% - Accent2 9 2" xfId="861" xr:uid="{00000000-0005-0000-0000-000035040000}"/>
    <cellStyle name="40% - Accent2 9 2 2" xfId="1853" xr:uid="{00000000-0005-0000-0000-000036040000}"/>
    <cellStyle name="40% - Accent2 9 3" xfId="1357" xr:uid="{00000000-0005-0000-0000-000037040000}"/>
    <cellStyle name="40% - Accent3" xfId="28" builtinId="39" customBuiltin="1"/>
    <cellStyle name="40% - Accent3 10" xfId="524" xr:uid="{00000000-0005-0000-0000-000039040000}"/>
    <cellStyle name="40% - Accent3 10 2" xfId="1516" xr:uid="{00000000-0005-0000-0000-00003A040000}"/>
    <cellStyle name="40% - Accent3 11" xfId="537" xr:uid="{00000000-0005-0000-0000-00003B040000}"/>
    <cellStyle name="40% - Accent3 11 2" xfId="1529" xr:uid="{00000000-0005-0000-0000-00003C040000}"/>
    <cellStyle name="40% - Accent3 12" xfId="1020" xr:uid="{00000000-0005-0000-0000-00003D040000}"/>
    <cellStyle name="40% - Accent3 13" xfId="1033" xr:uid="{00000000-0005-0000-0000-00003E040000}"/>
    <cellStyle name="40% - Accent3 14" xfId="2013" xr:uid="{00000000-0005-0000-0000-00003F040000}"/>
    <cellStyle name="40% - Accent3 15" xfId="2029" xr:uid="{00000000-0005-0000-0000-000040040000}"/>
    <cellStyle name="40% - Accent3 16" xfId="2045" xr:uid="{00000000-0005-0000-0000-000041040000}"/>
    <cellStyle name="40% - Accent3 17" xfId="2059" xr:uid="{00000000-0005-0000-0000-000042040000}"/>
    <cellStyle name="40% - Accent3 18" xfId="2073" xr:uid="{00000000-0005-0000-0000-000043040000}"/>
    <cellStyle name="40% - Accent3 19" xfId="2087" xr:uid="{00000000-0005-0000-0000-000044040000}"/>
    <cellStyle name="40% - Accent3 2" xfId="50" xr:uid="{00000000-0005-0000-0000-000045040000}"/>
    <cellStyle name="40% - Accent3 2 2" xfId="131" xr:uid="{00000000-0005-0000-0000-000046040000}"/>
    <cellStyle name="40% - Accent3 2 2 2" xfId="287" xr:uid="{00000000-0005-0000-0000-000047040000}"/>
    <cellStyle name="40% - Accent3 2 2 2 2" xfId="785" xr:uid="{00000000-0005-0000-0000-000048040000}"/>
    <cellStyle name="40% - Accent3 2 2 2 2 2" xfId="1777" xr:uid="{00000000-0005-0000-0000-000049040000}"/>
    <cellStyle name="40% - Accent3 2 2 2 3" xfId="1281" xr:uid="{00000000-0005-0000-0000-00004A040000}"/>
    <cellStyle name="40% - Accent3 2 2 3" xfId="459" xr:uid="{00000000-0005-0000-0000-00004B040000}"/>
    <cellStyle name="40% - Accent3 2 2 3 2" xfId="955" xr:uid="{00000000-0005-0000-0000-00004C040000}"/>
    <cellStyle name="40% - Accent3 2 2 3 2 2" xfId="1947" xr:uid="{00000000-0005-0000-0000-00004D040000}"/>
    <cellStyle name="40% - Accent3 2 2 3 3" xfId="1451" xr:uid="{00000000-0005-0000-0000-00004E040000}"/>
    <cellStyle name="40% - Accent3 2 2 4" xfId="629" xr:uid="{00000000-0005-0000-0000-00004F040000}"/>
    <cellStyle name="40% - Accent3 2 2 4 2" xfId="1621" xr:uid="{00000000-0005-0000-0000-000050040000}"/>
    <cellStyle name="40% - Accent3 2 2 5" xfId="1125" xr:uid="{00000000-0005-0000-0000-000051040000}"/>
    <cellStyle name="40% - Accent3 2 3" xfId="209" xr:uid="{00000000-0005-0000-0000-000052040000}"/>
    <cellStyle name="40% - Accent3 2 3 2" xfId="707" xr:uid="{00000000-0005-0000-0000-000053040000}"/>
    <cellStyle name="40% - Accent3 2 3 2 2" xfId="1699" xr:uid="{00000000-0005-0000-0000-000054040000}"/>
    <cellStyle name="40% - Accent3 2 3 3" xfId="1203" xr:uid="{00000000-0005-0000-0000-000055040000}"/>
    <cellStyle name="40% - Accent3 2 4" xfId="381" xr:uid="{00000000-0005-0000-0000-000056040000}"/>
    <cellStyle name="40% - Accent3 2 4 2" xfId="877" xr:uid="{00000000-0005-0000-0000-000057040000}"/>
    <cellStyle name="40% - Accent3 2 4 2 2" xfId="1869" xr:uid="{00000000-0005-0000-0000-000058040000}"/>
    <cellStyle name="40% - Accent3 2 4 3" xfId="1373" xr:uid="{00000000-0005-0000-0000-000059040000}"/>
    <cellStyle name="40% - Accent3 2 5" xfId="551" xr:uid="{00000000-0005-0000-0000-00005A040000}"/>
    <cellStyle name="40% - Accent3 2 5 2" xfId="1543" xr:uid="{00000000-0005-0000-0000-00005B040000}"/>
    <cellStyle name="40% - Accent3 2 6" xfId="1047" xr:uid="{00000000-0005-0000-0000-00005C040000}"/>
    <cellStyle name="40% - Accent3 20" xfId="2101" xr:uid="{00000000-0005-0000-0000-00005D040000}"/>
    <cellStyle name="40% - Accent3 21" xfId="2116" xr:uid="{00000000-0005-0000-0000-00005E040000}"/>
    <cellStyle name="40% - Accent3 3" xfId="67" xr:uid="{00000000-0005-0000-0000-00005F040000}"/>
    <cellStyle name="40% - Accent3 3 2" xfId="146" xr:uid="{00000000-0005-0000-0000-000060040000}"/>
    <cellStyle name="40% - Accent3 3 2 2" xfId="302" xr:uid="{00000000-0005-0000-0000-000061040000}"/>
    <cellStyle name="40% - Accent3 3 2 2 2" xfId="800" xr:uid="{00000000-0005-0000-0000-000062040000}"/>
    <cellStyle name="40% - Accent3 3 2 2 2 2" xfId="1792" xr:uid="{00000000-0005-0000-0000-000063040000}"/>
    <cellStyle name="40% - Accent3 3 2 2 3" xfId="1296" xr:uid="{00000000-0005-0000-0000-000064040000}"/>
    <cellStyle name="40% - Accent3 3 2 3" xfId="474" xr:uid="{00000000-0005-0000-0000-000065040000}"/>
    <cellStyle name="40% - Accent3 3 2 3 2" xfId="970" xr:uid="{00000000-0005-0000-0000-000066040000}"/>
    <cellStyle name="40% - Accent3 3 2 3 2 2" xfId="1962" xr:uid="{00000000-0005-0000-0000-000067040000}"/>
    <cellStyle name="40% - Accent3 3 2 3 3" xfId="1466" xr:uid="{00000000-0005-0000-0000-000068040000}"/>
    <cellStyle name="40% - Accent3 3 2 4" xfId="644" xr:uid="{00000000-0005-0000-0000-000069040000}"/>
    <cellStyle name="40% - Accent3 3 2 4 2" xfId="1636" xr:uid="{00000000-0005-0000-0000-00006A040000}"/>
    <cellStyle name="40% - Accent3 3 2 5" xfId="1140" xr:uid="{00000000-0005-0000-0000-00006B040000}"/>
    <cellStyle name="40% - Accent3 3 3" xfId="224" xr:uid="{00000000-0005-0000-0000-00006C040000}"/>
    <cellStyle name="40% - Accent3 3 3 2" xfId="722" xr:uid="{00000000-0005-0000-0000-00006D040000}"/>
    <cellStyle name="40% - Accent3 3 3 2 2" xfId="1714" xr:uid="{00000000-0005-0000-0000-00006E040000}"/>
    <cellStyle name="40% - Accent3 3 3 3" xfId="1218" xr:uid="{00000000-0005-0000-0000-00006F040000}"/>
    <cellStyle name="40% - Accent3 3 4" xfId="396" xr:uid="{00000000-0005-0000-0000-000070040000}"/>
    <cellStyle name="40% - Accent3 3 4 2" xfId="892" xr:uid="{00000000-0005-0000-0000-000071040000}"/>
    <cellStyle name="40% - Accent3 3 4 2 2" xfId="1884" xr:uid="{00000000-0005-0000-0000-000072040000}"/>
    <cellStyle name="40% - Accent3 3 4 3" xfId="1388" xr:uid="{00000000-0005-0000-0000-000073040000}"/>
    <cellStyle name="40% - Accent3 3 5" xfId="566" xr:uid="{00000000-0005-0000-0000-000074040000}"/>
    <cellStyle name="40% - Accent3 3 5 2" xfId="1558" xr:uid="{00000000-0005-0000-0000-000075040000}"/>
    <cellStyle name="40% - Accent3 3 6" xfId="1062" xr:uid="{00000000-0005-0000-0000-000076040000}"/>
    <cellStyle name="40% - Accent3 4" xfId="85" xr:uid="{00000000-0005-0000-0000-000077040000}"/>
    <cellStyle name="40% - Accent3 4 2" xfId="163" xr:uid="{00000000-0005-0000-0000-000078040000}"/>
    <cellStyle name="40% - Accent3 4 2 2" xfId="319" xr:uid="{00000000-0005-0000-0000-000079040000}"/>
    <cellStyle name="40% - Accent3 4 2 2 2" xfId="817" xr:uid="{00000000-0005-0000-0000-00007A040000}"/>
    <cellStyle name="40% - Accent3 4 2 2 2 2" xfId="1809" xr:uid="{00000000-0005-0000-0000-00007B040000}"/>
    <cellStyle name="40% - Accent3 4 2 2 3" xfId="1313" xr:uid="{00000000-0005-0000-0000-00007C040000}"/>
    <cellStyle name="40% - Accent3 4 2 3" xfId="491" xr:uid="{00000000-0005-0000-0000-00007D040000}"/>
    <cellStyle name="40% - Accent3 4 2 3 2" xfId="987" xr:uid="{00000000-0005-0000-0000-00007E040000}"/>
    <cellStyle name="40% - Accent3 4 2 3 2 2" xfId="1979" xr:uid="{00000000-0005-0000-0000-00007F040000}"/>
    <cellStyle name="40% - Accent3 4 2 3 3" xfId="1483" xr:uid="{00000000-0005-0000-0000-000080040000}"/>
    <cellStyle name="40% - Accent3 4 2 4" xfId="661" xr:uid="{00000000-0005-0000-0000-000081040000}"/>
    <cellStyle name="40% - Accent3 4 2 4 2" xfId="1653" xr:uid="{00000000-0005-0000-0000-000082040000}"/>
    <cellStyle name="40% - Accent3 4 2 5" xfId="1157" xr:uid="{00000000-0005-0000-0000-000083040000}"/>
    <cellStyle name="40% - Accent3 4 3" xfId="241" xr:uid="{00000000-0005-0000-0000-000084040000}"/>
    <cellStyle name="40% - Accent3 4 3 2" xfId="739" xr:uid="{00000000-0005-0000-0000-000085040000}"/>
    <cellStyle name="40% - Accent3 4 3 2 2" xfId="1731" xr:uid="{00000000-0005-0000-0000-000086040000}"/>
    <cellStyle name="40% - Accent3 4 3 3" xfId="1235" xr:uid="{00000000-0005-0000-0000-000087040000}"/>
    <cellStyle name="40% - Accent3 4 4" xfId="413" xr:uid="{00000000-0005-0000-0000-000088040000}"/>
    <cellStyle name="40% - Accent3 4 4 2" xfId="909" xr:uid="{00000000-0005-0000-0000-000089040000}"/>
    <cellStyle name="40% - Accent3 4 4 2 2" xfId="1901" xr:uid="{00000000-0005-0000-0000-00008A040000}"/>
    <cellStyle name="40% - Accent3 4 4 3" xfId="1405" xr:uid="{00000000-0005-0000-0000-00008B040000}"/>
    <cellStyle name="40% - Accent3 4 5" xfId="583" xr:uid="{00000000-0005-0000-0000-00008C040000}"/>
    <cellStyle name="40% - Accent3 4 5 2" xfId="1575" xr:uid="{00000000-0005-0000-0000-00008D040000}"/>
    <cellStyle name="40% - Accent3 4 6" xfId="1079" xr:uid="{00000000-0005-0000-0000-00008E040000}"/>
    <cellStyle name="40% - Accent3 5" xfId="102" xr:uid="{00000000-0005-0000-0000-00008F040000}"/>
    <cellStyle name="40% - Accent3 5 2" xfId="180" xr:uid="{00000000-0005-0000-0000-000090040000}"/>
    <cellStyle name="40% - Accent3 5 2 2" xfId="336" xr:uid="{00000000-0005-0000-0000-000091040000}"/>
    <cellStyle name="40% - Accent3 5 2 2 2" xfId="834" xr:uid="{00000000-0005-0000-0000-000092040000}"/>
    <cellStyle name="40% - Accent3 5 2 2 2 2" xfId="1826" xr:uid="{00000000-0005-0000-0000-000093040000}"/>
    <cellStyle name="40% - Accent3 5 2 2 3" xfId="1330" xr:uid="{00000000-0005-0000-0000-000094040000}"/>
    <cellStyle name="40% - Accent3 5 2 3" xfId="508" xr:uid="{00000000-0005-0000-0000-000095040000}"/>
    <cellStyle name="40% - Accent3 5 2 3 2" xfId="1004" xr:uid="{00000000-0005-0000-0000-000096040000}"/>
    <cellStyle name="40% - Accent3 5 2 3 2 2" xfId="1996" xr:uid="{00000000-0005-0000-0000-000097040000}"/>
    <cellStyle name="40% - Accent3 5 2 3 3" xfId="1500" xr:uid="{00000000-0005-0000-0000-000098040000}"/>
    <cellStyle name="40% - Accent3 5 2 4" xfId="678" xr:uid="{00000000-0005-0000-0000-000099040000}"/>
    <cellStyle name="40% - Accent3 5 2 4 2" xfId="1670" xr:uid="{00000000-0005-0000-0000-00009A040000}"/>
    <cellStyle name="40% - Accent3 5 2 5" xfId="1174" xr:uid="{00000000-0005-0000-0000-00009B040000}"/>
    <cellStyle name="40% - Accent3 5 3" xfId="258" xr:uid="{00000000-0005-0000-0000-00009C040000}"/>
    <cellStyle name="40% - Accent3 5 3 2" xfId="756" xr:uid="{00000000-0005-0000-0000-00009D040000}"/>
    <cellStyle name="40% - Accent3 5 3 2 2" xfId="1748" xr:uid="{00000000-0005-0000-0000-00009E040000}"/>
    <cellStyle name="40% - Accent3 5 3 3" xfId="1252" xr:uid="{00000000-0005-0000-0000-00009F040000}"/>
    <cellStyle name="40% - Accent3 5 4" xfId="430" xr:uid="{00000000-0005-0000-0000-0000A0040000}"/>
    <cellStyle name="40% - Accent3 5 4 2" xfId="926" xr:uid="{00000000-0005-0000-0000-0000A1040000}"/>
    <cellStyle name="40% - Accent3 5 4 2 2" xfId="1918" xr:uid="{00000000-0005-0000-0000-0000A2040000}"/>
    <cellStyle name="40% - Accent3 5 4 3" xfId="1422" xr:uid="{00000000-0005-0000-0000-0000A3040000}"/>
    <cellStyle name="40% - Accent3 5 5" xfId="600" xr:uid="{00000000-0005-0000-0000-0000A4040000}"/>
    <cellStyle name="40% - Accent3 5 5 2" xfId="1592" xr:uid="{00000000-0005-0000-0000-0000A5040000}"/>
    <cellStyle name="40% - Accent3 5 6" xfId="1096" xr:uid="{00000000-0005-0000-0000-0000A6040000}"/>
    <cellStyle name="40% - Accent3 6" xfId="117" xr:uid="{00000000-0005-0000-0000-0000A7040000}"/>
    <cellStyle name="40% - Accent3 6 2" xfId="273" xr:uid="{00000000-0005-0000-0000-0000A8040000}"/>
    <cellStyle name="40% - Accent3 6 2 2" xfId="771" xr:uid="{00000000-0005-0000-0000-0000A9040000}"/>
    <cellStyle name="40% - Accent3 6 2 2 2" xfId="1763" xr:uid="{00000000-0005-0000-0000-0000AA040000}"/>
    <cellStyle name="40% - Accent3 6 2 3" xfId="1267" xr:uid="{00000000-0005-0000-0000-0000AB040000}"/>
    <cellStyle name="40% - Accent3 6 3" xfId="445" xr:uid="{00000000-0005-0000-0000-0000AC040000}"/>
    <cellStyle name="40% - Accent3 6 3 2" xfId="941" xr:uid="{00000000-0005-0000-0000-0000AD040000}"/>
    <cellStyle name="40% - Accent3 6 3 2 2" xfId="1933" xr:uid="{00000000-0005-0000-0000-0000AE040000}"/>
    <cellStyle name="40% - Accent3 6 3 3" xfId="1437" xr:uid="{00000000-0005-0000-0000-0000AF040000}"/>
    <cellStyle name="40% - Accent3 6 4" xfId="615" xr:uid="{00000000-0005-0000-0000-0000B0040000}"/>
    <cellStyle name="40% - Accent3 6 4 2" xfId="1607" xr:uid="{00000000-0005-0000-0000-0000B1040000}"/>
    <cellStyle name="40% - Accent3 6 5" xfId="1111" xr:uid="{00000000-0005-0000-0000-0000B2040000}"/>
    <cellStyle name="40% - Accent3 7" xfId="352" xr:uid="{00000000-0005-0000-0000-0000B3040000}"/>
    <cellStyle name="40% - Accent3 7 2" xfId="850" xr:uid="{00000000-0005-0000-0000-0000B4040000}"/>
    <cellStyle name="40% - Accent3 7 2 2" xfId="1842" xr:uid="{00000000-0005-0000-0000-0000B5040000}"/>
    <cellStyle name="40% - Accent3 7 3" xfId="1346" xr:uid="{00000000-0005-0000-0000-0000B6040000}"/>
    <cellStyle name="40% - Accent3 8" xfId="195" xr:uid="{00000000-0005-0000-0000-0000B7040000}"/>
    <cellStyle name="40% - Accent3 8 2" xfId="693" xr:uid="{00000000-0005-0000-0000-0000B8040000}"/>
    <cellStyle name="40% - Accent3 8 2 2" xfId="1685" xr:uid="{00000000-0005-0000-0000-0000B9040000}"/>
    <cellStyle name="40% - Accent3 8 3" xfId="1189" xr:uid="{00000000-0005-0000-0000-0000BA040000}"/>
    <cellStyle name="40% - Accent3 9" xfId="367" xr:uid="{00000000-0005-0000-0000-0000BB040000}"/>
    <cellStyle name="40% - Accent3 9 2" xfId="863" xr:uid="{00000000-0005-0000-0000-0000BC040000}"/>
    <cellStyle name="40% - Accent3 9 2 2" xfId="1855" xr:uid="{00000000-0005-0000-0000-0000BD040000}"/>
    <cellStyle name="40% - Accent3 9 3" xfId="1359" xr:uid="{00000000-0005-0000-0000-0000BE040000}"/>
    <cellStyle name="40% - Accent4" xfId="32" builtinId="43" customBuiltin="1"/>
    <cellStyle name="40% - Accent4 10" xfId="526" xr:uid="{00000000-0005-0000-0000-0000C0040000}"/>
    <cellStyle name="40% - Accent4 10 2" xfId="1518" xr:uid="{00000000-0005-0000-0000-0000C1040000}"/>
    <cellStyle name="40% - Accent4 11" xfId="539" xr:uid="{00000000-0005-0000-0000-0000C2040000}"/>
    <cellStyle name="40% - Accent4 11 2" xfId="1531" xr:uid="{00000000-0005-0000-0000-0000C3040000}"/>
    <cellStyle name="40% - Accent4 12" xfId="1022" xr:uid="{00000000-0005-0000-0000-0000C4040000}"/>
    <cellStyle name="40% - Accent4 13" xfId="1035" xr:uid="{00000000-0005-0000-0000-0000C5040000}"/>
    <cellStyle name="40% - Accent4 14" xfId="2015" xr:uid="{00000000-0005-0000-0000-0000C6040000}"/>
    <cellStyle name="40% - Accent4 15" xfId="2031" xr:uid="{00000000-0005-0000-0000-0000C7040000}"/>
    <cellStyle name="40% - Accent4 16" xfId="2047" xr:uid="{00000000-0005-0000-0000-0000C8040000}"/>
    <cellStyle name="40% - Accent4 17" xfId="2061" xr:uid="{00000000-0005-0000-0000-0000C9040000}"/>
    <cellStyle name="40% - Accent4 18" xfId="2075" xr:uid="{00000000-0005-0000-0000-0000CA040000}"/>
    <cellStyle name="40% - Accent4 19" xfId="2089" xr:uid="{00000000-0005-0000-0000-0000CB040000}"/>
    <cellStyle name="40% - Accent4 2" xfId="52" xr:uid="{00000000-0005-0000-0000-0000CC040000}"/>
    <cellStyle name="40% - Accent4 2 2" xfId="133" xr:uid="{00000000-0005-0000-0000-0000CD040000}"/>
    <cellStyle name="40% - Accent4 2 2 2" xfId="289" xr:uid="{00000000-0005-0000-0000-0000CE040000}"/>
    <cellStyle name="40% - Accent4 2 2 2 2" xfId="787" xr:uid="{00000000-0005-0000-0000-0000CF040000}"/>
    <cellStyle name="40% - Accent4 2 2 2 2 2" xfId="1779" xr:uid="{00000000-0005-0000-0000-0000D0040000}"/>
    <cellStyle name="40% - Accent4 2 2 2 3" xfId="1283" xr:uid="{00000000-0005-0000-0000-0000D1040000}"/>
    <cellStyle name="40% - Accent4 2 2 3" xfId="461" xr:uid="{00000000-0005-0000-0000-0000D2040000}"/>
    <cellStyle name="40% - Accent4 2 2 3 2" xfId="957" xr:uid="{00000000-0005-0000-0000-0000D3040000}"/>
    <cellStyle name="40% - Accent4 2 2 3 2 2" xfId="1949" xr:uid="{00000000-0005-0000-0000-0000D4040000}"/>
    <cellStyle name="40% - Accent4 2 2 3 3" xfId="1453" xr:uid="{00000000-0005-0000-0000-0000D5040000}"/>
    <cellStyle name="40% - Accent4 2 2 4" xfId="631" xr:uid="{00000000-0005-0000-0000-0000D6040000}"/>
    <cellStyle name="40% - Accent4 2 2 4 2" xfId="1623" xr:uid="{00000000-0005-0000-0000-0000D7040000}"/>
    <cellStyle name="40% - Accent4 2 2 5" xfId="1127" xr:uid="{00000000-0005-0000-0000-0000D8040000}"/>
    <cellStyle name="40% - Accent4 2 3" xfId="211" xr:uid="{00000000-0005-0000-0000-0000D9040000}"/>
    <cellStyle name="40% - Accent4 2 3 2" xfId="709" xr:uid="{00000000-0005-0000-0000-0000DA040000}"/>
    <cellStyle name="40% - Accent4 2 3 2 2" xfId="1701" xr:uid="{00000000-0005-0000-0000-0000DB040000}"/>
    <cellStyle name="40% - Accent4 2 3 3" xfId="1205" xr:uid="{00000000-0005-0000-0000-0000DC040000}"/>
    <cellStyle name="40% - Accent4 2 4" xfId="383" xr:uid="{00000000-0005-0000-0000-0000DD040000}"/>
    <cellStyle name="40% - Accent4 2 4 2" xfId="879" xr:uid="{00000000-0005-0000-0000-0000DE040000}"/>
    <cellStyle name="40% - Accent4 2 4 2 2" xfId="1871" xr:uid="{00000000-0005-0000-0000-0000DF040000}"/>
    <cellStyle name="40% - Accent4 2 4 3" xfId="1375" xr:uid="{00000000-0005-0000-0000-0000E0040000}"/>
    <cellStyle name="40% - Accent4 2 5" xfId="553" xr:uid="{00000000-0005-0000-0000-0000E1040000}"/>
    <cellStyle name="40% - Accent4 2 5 2" xfId="1545" xr:uid="{00000000-0005-0000-0000-0000E2040000}"/>
    <cellStyle name="40% - Accent4 2 6" xfId="1049" xr:uid="{00000000-0005-0000-0000-0000E3040000}"/>
    <cellStyle name="40% - Accent4 20" xfId="2103" xr:uid="{00000000-0005-0000-0000-0000E4040000}"/>
    <cellStyle name="40% - Accent4 21" xfId="2118" xr:uid="{00000000-0005-0000-0000-0000E5040000}"/>
    <cellStyle name="40% - Accent4 3" xfId="69" xr:uid="{00000000-0005-0000-0000-0000E6040000}"/>
    <cellStyle name="40% - Accent4 3 2" xfId="148" xr:uid="{00000000-0005-0000-0000-0000E7040000}"/>
    <cellStyle name="40% - Accent4 3 2 2" xfId="304" xr:uid="{00000000-0005-0000-0000-0000E8040000}"/>
    <cellStyle name="40% - Accent4 3 2 2 2" xfId="802" xr:uid="{00000000-0005-0000-0000-0000E9040000}"/>
    <cellStyle name="40% - Accent4 3 2 2 2 2" xfId="1794" xr:uid="{00000000-0005-0000-0000-0000EA040000}"/>
    <cellStyle name="40% - Accent4 3 2 2 3" xfId="1298" xr:uid="{00000000-0005-0000-0000-0000EB040000}"/>
    <cellStyle name="40% - Accent4 3 2 3" xfId="476" xr:uid="{00000000-0005-0000-0000-0000EC040000}"/>
    <cellStyle name="40% - Accent4 3 2 3 2" xfId="972" xr:uid="{00000000-0005-0000-0000-0000ED040000}"/>
    <cellStyle name="40% - Accent4 3 2 3 2 2" xfId="1964" xr:uid="{00000000-0005-0000-0000-0000EE040000}"/>
    <cellStyle name="40% - Accent4 3 2 3 3" xfId="1468" xr:uid="{00000000-0005-0000-0000-0000EF040000}"/>
    <cellStyle name="40% - Accent4 3 2 4" xfId="646" xr:uid="{00000000-0005-0000-0000-0000F0040000}"/>
    <cellStyle name="40% - Accent4 3 2 4 2" xfId="1638" xr:uid="{00000000-0005-0000-0000-0000F1040000}"/>
    <cellStyle name="40% - Accent4 3 2 5" xfId="1142" xr:uid="{00000000-0005-0000-0000-0000F2040000}"/>
    <cellStyle name="40% - Accent4 3 3" xfId="226" xr:uid="{00000000-0005-0000-0000-0000F3040000}"/>
    <cellStyle name="40% - Accent4 3 3 2" xfId="724" xr:uid="{00000000-0005-0000-0000-0000F4040000}"/>
    <cellStyle name="40% - Accent4 3 3 2 2" xfId="1716" xr:uid="{00000000-0005-0000-0000-0000F5040000}"/>
    <cellStyle name="40% - Accent4 3 3 3" xfId="1220" xr:uid="{00000000-0005-0000-0000-0000F6040000}"/>
    <cellStyle name="40% - Accent4 3 4" xfId="398" xr:uid="{00000000-0005-0000-0000-0000F7040000}"/>
    <cellStyle name="40% - Accent4 3 4 2" xfId="894" xr:uid="{00000000-0005-0000-0000-0000F8040000}"/>
    <cellStyle name="40% - Accent4 3 4 2 2" xfId="1886" xr:uid="{00000000-0005-0000-0000-0000F9040000}"/>
    <cellStyle name="40% - Accent4 3 4 3" xfId="1390" xr:uid="{00000000-0005-0000-0000-0000FA040000}"/>
    <cellStyle name="40% - Accent4 3 5" xfId="568" xr:uid="{00000000-0005-0000-0000-0000FB040000}"/>
    <cellStyle name="40% - Accent4 3 5 2" xfId="1560" xr:uid="{00000000-0005-0000-0000-0000FC040000}"/>
    <cellStyle name="40% - Accent4 3 6" xfId="1064" xr:uid="{00000000-0005-0000-0000-0000FD040000}"/>
    <cellStyle name="40% - Accent4 4" xfId="87" xr:uid="{00000000-0005-0000-0000-0000FE040000}"/>
    <cellStyle name="40% - Accent4 4 2" xfId="165" xr:uid="{00000000-0005-0000-0000-0000FF040000}"/>
    <cellStyle name="40% - Accent4 4 2 2" xfId="321" xr:uid="{00000000-0005-0000-0000-000000050000}"/>
    <cellStyle name="40% - Accent4 4 2 2 2" xfId="819" xr:uid="{00000000-0005-0000-0000-000001050000}"/>
    <cellStyle name="40% - Accent4 4 2 2 2 2" xfId="1811" xr:uid="{00000000-0005-0000-0000-000002050000}"/>
    <cellStyle name="40% - Accent4 4 2 2 3" xfId="1315" xr:uid="{00000000-0005-0000-0000-000003050000}"/>
    <cellStyle name="40% - Accent4 4 2 3" xfId="493" xr:uid="{00000000-0005-0000-0000-000004050000}"/>
    <cellStyle name="40% - Accent4 4 2 3 2" xfId="989" xr:uid="{00000000-0005-0000-0000-000005050000}"/>
    <cellStyle name="40% - Accent4 4 2 3 2 2" xfId="1981" xr:uid="{00000000-0005-0000-0000-000006050000}"/>
    <cellStyle name="40% - Accent4 4 2 3 3" xfId="1485" xr:uid="{00000000-0005-0000-0000-000007050000}"/>
    <cellStyle name="40% - Accent4 4 2 4" xfId="663" xr:uid="{00000000-0005-0000-0000-000008050000}"/>
    <cellStyle name="40% - Accent4 4 2 4 2" xfId="1655" xr:uid="{00000000-0005-0000-0000-000009050000}"/>
    <cellStyle name="40% - Accent4 4 2 5" xfId="1159" xr:uid="{00000000-0005-0000-0000-00000A050000}"/>
    <cellStyle name="40% - Accent4 4 3" xfId="243" xr:uid="{00000000-0005-0000-0000-00000B050000}"/>
    <cellStyle name="40% - Accent4 4 3 2" xfId="741" xr:uid="{00000000-0005-0000-0000-00000C050000}"/>
    <cellStyle name="40% - Accent4 4 3 2 2" xfId="1733" xr:uid="{00000000-0005-0000-0000-00000D050000}"/>
    <cellStyle name="40% - Accent4 4 3 3" xfId="1237" xr:uid="{00000000-0005-0000-0000-00000E050000}"/>
    <cellStyle name="40% - Accent4 4 4" xfId="415" xr:uid="{00000000-0005-0000-0000-00000F050000}"/>
    <cellStyle name="40% - Accent4 4 4 2" xfId="911" xr:uid="{00000000-0005-0000-0000-000010050000}"/>
    <cellStyle name="40% - Accent4 4 4 2 2" xfId="1903" xr:uid="{00000000-0005-0000-0000-000011050000}"/>
    <cellStyle name="40% - Accent4 4 4 3" xfId="1407" xr:uid="{00000000-0005-0000-0000-000012050000}"/>
    <cellStyle name="40% - Accent4 4 5" xfId="585" xr:uid="{00000000-0005-0000-0000-000013050000}"/>
    <cellStyle name="40% - Accent4 4 5 2" xfId="1577" xr:uid="{00000000-0005-0000-0000-000014050000}"/>
    <cellStyle name="40% - Accent4 4 6" xfId="1081" xr:uid="{00000000-0005-0000-0000-000015050000}"/>
    <cellStyle name="40% - Accent4 5" xfId="104" xr:uid="{00000000-0005-0000-0000-000016050000}"/>
    <cellStyle name="40% - Accent4 5 2" xfId="182" xr:uid="{00000000-0005-0000-0000-000017050000}"/>
    <cellStyle name="40% - Accent4 5 2 2" xfId="338" xr:uid="{00000000-0005-0000-0000-000018050000}"/>
    <cellStyle name="40% - Accent4 5 2 2 2" xfId="836" xr:uid="{00000000-0005-0000-0000-000019050000}"/>
    <cellStyle name="40% - Accent4 5 2 2 2 2" xfId="1828" xr:uid="{00000000-0005-0000-0000-00001A050000}"/>
    <cellStyle name="40% - Accent4 5 2 2 3" xfId="1332" xr:uid="{00000000-0005-0000-0000-00001B050000}"/>
    <cellStyle name="40% - Accent4 5 2 3" xfId="510" xr:uid="{00000000-0005-0000-0000-00001C050000}"/>
    <cellStyle name="40% - Accent4 5 2 3 2" xfId="1006" xr:uid="{00000000-0005-0000-0000-00001D050000}"/>
    <cellStyle name="40% - Accent4 5 2 3 2 2" xfId="1998" xr:uid="{00000000-0005-0000-0000-00001E050000}"/>
    <cellStyle name="40% - Accent4 5 2 3 3" xfId="1502" xr:uid="{00000000-0005-0000-0000-00001F050000}"/>
    <cellStyle name="40% - Accent4 5 2 4" xfId="680" xr:uid="{00000000-0005-0000-0000-000020050000}"/>
    <cellStyle name="40% - Accent4 5 2 4 2" xfId="1672" xr:uid="{00000000-0005-0000-0000-000021050000}"/>
    <cellStyle name="40% - Accent4 5 2 5" xfId="1176" xr:uid="{00000000-0005-0000-0000-000022050000}"/>
    <cellStyle name="40% - Accent4 5 3" xfId="260" xr:uid="{00000000-0005-0000-0000-000023050000}"/>
    <cellStyle name="40% - Accent4 5 3 2" xfId="758" xr:uid="{00000000-0005-0000-0000-000024050000}"/>
    <cellStyle name="40% - Accent4 5 3 2 2" xfId="1750" xr:uid="{00000000-0005-0000-0000-000025050000}"/>
    <cellStyle name="40% - Accent4 5 3 3" xfId="1254" xr:uid="{00000000-0005-0000-0000-000026050000}"/>
    <cellStyle name="40% - Accent4 5 4" xfId="432" xr:uid="{00000000-0005-0000-0000-000027050000}"/>
    <cellStyle name="40% - Accent4 5 4 2" xfId="928" xr:uid="{00000000-0005-0000-0000-000028050000}"/>
    <cellStyle name="40% - Accent4 5 4 2 2" xfId="1920" xr:uid="{00000000-0005-0000-0000-000029050000}"/>
    <cellStyle name="40% - Accent4 5 4 3" xfId="1424" xr:uid="{00000000-0005-0000-0000-00002A050000}"/>
    <cellStyle name="40% - Accent4 5 5" xfId="602" xr:uid="{00000000-0005-0000-0000-00002B050000}"/>
    <cellStyle name="40% - Accent4 5 5 2" xfId="1594" xr:uid="{00000000-0005-0000-0000-00002C050000}"/>
    <cellStyle name="40% - Accent4 5 6" xfId="1098" xr:uid="{00000000-0005-0000-0000-00002D050000}"/>
    <cellStyle name="40% - Accent4 6" xfId="119" xr:uid="{00000000-0005-0000-0000-00002E050000}"/>
    <cellStyle name="40% - Accent4 6 2" xfId="275" xr:uid="{00000000-0005-0000-0000-00002F050000}"/>
    <cellStyle name="40% - Accent4 6 2 2" xfId="773" xr:uid="{00000000-0005-0000-0000-000030050000}"/>
    <cellStyle name="40% - Accent4 6 2 2 2" xfId="1765" xr:uid="{00000000-0005-0000-0000-000031050000}"/>
    <cellStyle name="40% - Accent4 6 2 3" xfId="1269" xr:uid="{00000000-0005-0000-0000-000032050000}"/>
    <cellStyle name="40% - Accent4 6 3" xfId="447" xr:uid="{00000000-0005-0000-0000-000033050000}"/>
    <cellStyle name="40% - Accent4 6 3 2" xfId="943" xr:uid="{00000000-0005-0000-0000-000034050000}"/>
    <cellStyle name="40% - Accent4 6 3 2 2" xfId="1935" xr:uid="{00000000-0005-0000-0000-000035050000}"/>
    <cellStyle name="40% - Accent4 6 3 3" xfId="1439" xr:uid="{00000000-0005-0000-0000-000036050000}"/>
    <cellStyle name="40% - Accent4 6 4" xfId="617" xr:uid="{00000000-0005-0000-0000-000037050000}"/>
    <cellStyle name="40% - Accent4 6 4 2" xfId="1609" xr:uid="{00000000-0005-0000-0000-000038050000}"/>
    <cellStyle name="40% - Accent4 6 5" xfId="1113" xr:uid="{00000000-0005-0000-0000-000039050000}"/>
    <cellStyle name="40% - Accent4 7" xfId="354" xr:uid="{00000000-0005-0000-0000-00003A050000}"/>
    <cellStyle name="40% - Accent4 7 2" xfId="852" xr:uid="{00000000-0005-0000-0000-00003B050000}"/>
    <cellStyle name="40% - Accent4 7 2 2" xfId="1844" xr:uid="{00000000-0005-0000-0000-00003C050000}"/>
    <cellStyle name="40% - Accent4 7 3" xfId="1348" xr:uid="{00000000-0005-0000-0000-00003D050000}"/>
    <cellStyle name="40% - Accent4 8" xfId="197" xr:uid="{00000000-0005-0000-0000-00003E050000}"/>
    <cellStyle name="40% - Accent4 8 2" xfId="695" xr:uid="{00000000-0005-0000-0000-00003F050000}"/>
    <cellStyle name="40% - Accent4 8 2 2" xfId="1687" xr:uid="{00000000-0005-0000-0000-000040050000}"/>
    <cellStyle name="40% - Accent4 8 3" xfId="1191" xr:uid="{00000000-0005-0000-0000-000041050000}"/>
    <cellStyle name="40% - Accent4 9" xfId="369" xr:uid="{00000000-0005-0000-0000-000042050000}"/>
    <cellStyle name="40% - Accent4 9 2" xfId="865" xr:uid="{00000000-0005-0000-0000-000043050000}"/>
    <cellStyle name="40% - Accent4 9 2 2" xfId="1857" xr:uid="{00000000-0005-0000-0000-000044050000}"/>
    <cellStyle name="40% - Accent4 9 3" xfId="1361" xr:uid="{00000000-0005-0000-0000-000045050000}"/>
    <cellStyle name="40% - Accent5" xfId="36" builtinId="47" customBuiltin="1"/>
    <cellStyle name="40% - Accent5 10" xfId="528" xr:uid="{00000000-0005-0000-0000-000047050000}"/>
    <cellStyle name="40% - Accent5 10 2" xfId="1520" xr:uid="{00000000-0005-0000-0000-000048050000}"/>
    <cellStyle name="40% - Accent5 11" xfId="541" xr:uid="{00000000-0005-0000-0000-000049050000}"/>
    <cellStyle name="40% - Accent5 11 2" xfId="1533" xr:uid="{00000000-0005-0000-0000-00004A050000}"/>
    <cellStyle name="40% - Accent5 12" xfId="1024" xr:uid="{00000000-0005-0000-0000-00004B050000}"/>
    <cellStyle name="40% - Accent5 13" xfId="1037" xr:uid="{00000000-0005-0000-0000-00004C050000}"/>
    <cellStyle name="40% - Accent5 14" xfId="2017" xr:uid="{00000000-0005-0000-0000-00004D050000}"/>
    <cellStyle name="40% - Accent5 15" xfId="2033" xr:uid="{00000000-0005-0000-0000-00004E050000}"/>
    <cellStyle name="40% - Accent5 16" xfId="2049" xr:uid="{00000000-0005-0000-0000-00004F050000}"/>
    <cellStyle name="40% - Accent5 17" xfId="2063" xr:uid="{00000000-0005-0000-0000-000050050000}"/>
    <cellStyle name="40% - Accent5 18" xfId="2077" xr:uid="{00000000-0005-0000-0000-000051050000}"/>
    <cellStyle name="40% - Accent5 19" xfId="2091" xr:uid="{00000000-0005-0000-0000-000052050000}"/>
    <cellStyle name="40% - Accent5 2" xfId="54" xr:uid="{00000000-0005-0000-0000-000053050000}"/>
    <cellStyle name="40% - Accent5 2 2" xfId="135" xr:uid="{00000000-0005-0000-0000-000054050000}"/>
    <cellStyle name="40% - Accent5 2 2 2" xfId="291" xr:uid="{00000000-0005-0000-0000-000055050000}"/>
    <cellStyle name="40% - Accent5 2 2 2 2" xfId="789" xr:uid="{00000000-0005-0000-0000-000056050000}"/>
    <cellStyle name="40% - Accent5 2 2 2 2 2" xfId="1781" xr:uid="{00000000-0005-0000-0000-000057050000}"/>
    <cellStyle name="40% - Accent5 2 2 2 3" xfId="1285" xr:uid="{00000000-0005-0000-0000-000058050000}"/>
    <cellStyle name="40% - Accent5 2 2 3" xfId="463" xr:uid="{00000000-0005-0000-0000-000059050000}"/>
    <cellStyle name="40% - Accent5 2 2 3 2" xfId="959" xr:uid="{00000000-0005-0000-0000-00005A050000}"/>
    <cellStyle name="40% - Accent5 2 2 3 2 2" xfId="1951" xr:uid="{00000000-0005-0000-0000-00005B050000}"/>
    <cellStyle name="40% - Accent5 2 2 3 3" xfId="1455" xr:uid="{00000000-0005-0000-0000-00005C050000}"/>
    <cellStyle name="40% - Accent5 2 2 4" xfId="633" xr:uid="{00000000-0005-0000-0000-00005D050000}"/>
    <cellStyle name="40% - Accent5 2 2 4 2" xfId="1625" xr:uid="{00000000-0005-0000-0000-00005E050000}"/>
    <cellStyle name="40% - Accent5 2 2 5" xfId="1129" xr:uid="{00000000-0005-0000-0000-00005F050000}"/>
    <cellStyle name="40% - Accent5 2 3" xfId="213" xr:uid="{00000000-0005-0000-0000-000060050000}"/>
    <cellStyle name="40% - Accent5 2 3 2" xfId="711" xr:uid="{00000000-0005-0000-0000-000061050000}"/>
    <cellStyle name="40% - Accent5 2 3 2 2" xfId="1703" xr:uid="{00000000-0005-0000-0000-000062050000}"/>
    <cellStyle name="40% - Accent5 2 3 3" xfId="1207" xr:uid="{00000000-0005-0000-0000-000063050000}"/>
    <cellStyle name="40% - Accent5 2 4" xfId="385" xr:uid="{00000000-0005-0000-0000-000064050000}"/>
    <cellStyle name="40% - Accent5 2 4 2" xfId="881" xr:uid="{00000000-0005-0000-0000-000065050000}"/>
    <cellStyle name="40% - Accent5 2 4 2 2" xfId="1873" xr:uid="{00000000-0005-0000-0000-000066050000}"/>
    <cellStyle name="40% - Accent5 2 4 3" xfId="1377" xr:uid="{00000000-0005-0000-0000-000067050000}"/>
    <cellStyle name="40% - Accent5 2 5" xfId="555" xr:uid="{00000000-0005-0000-0000-000068050000}"/>
    <cellStyle name="40% - Accent5 2 5 2" xfId="1547" xr:uid="{00000000-0005-0000-0000-000069050000}"/>
    <cellStyle name="40% - Accent5 2 6" xfId="1051" xr:uid="{00000000-0005-0000-0000-00006A050000}"/>
    <cellStyle name="40% - Accent5 20" xfId="2105" xr:uid="{00000000-0005-0000-0000-00006B050000}"/>
    <cellStyle name="40% - Accent5 21" xfId="2120" xr:uid="{00000000-0005-0000-0000-00006C050000}"/>
    <cellStyle name="40% - Accent5 3" xfId="71" xr:uid="{00000000-0005-0000-0000-00006D050000}"/>
    <cellStyle name="40% - Accent5 3 2" xfId="150" xr:uid="{00000000-0005-0000-0000-00006E050000}"/>
    <cellStyle name="40% - Accent5 3 2 2" xfId="306" xr:uid="{00000000-0005-0000-0000-00006F050000}"/>
    <cellStyle name="40% - Accent5 3 2 2 2" xfId="804" xr:uid="{00000000-0005-0000-0000-000070050000}"/>
    <cellStyle name="40% - Accent5 3 2 2 2 2" xfId="1796" xr:uid="{00000000-0005-0000-0000-000071050000}"/>
    <cellStyle name="40% - Accent5 3 2 2 3" xfId="1300" xr:uid="{00000000-0005-0000-0000-000072050000}"/>
    <cellStyle name="40% - Accent5 3 2 3" xfId="478" xr:uid="{00000000-0005-0000-0000-000073050000}"/>
    <cellStyle name="40% - Accent5 3 2 3 2" xfId="974" xr:uid="{00000000-0005-0000-0000-000074050000}"/>
    <cellStyle name="40% - Accent5 3 2 3 2 2" xfId="1966" xr:uid="{00000000-0005-0000-0000-000075050000}"/>
    <cellStyle name="40% - Accent5 3 2 3 3" xfId="1470" xr:uid="{00000000-0005-0000-0000-000076050000}"/>
    <cellStyle name="40% - Accent5 3 2 4" xfId="648" xr:uid="{00000000-0005-0000-0000-000077050000}"/>
    <cellStyle name="40% - Accent5 3 2 4 2" xfId="1640" xr:uid="{00000000-0005-0000-0000-000078050000}"/>
    <cellStyle name="40% - Accent5 3 2 5" xfId="1144" xr:uid="{00000000-0005-0000-0000-000079050000}"/>
    <cellStyle name="40% - Accent5 3 3" xfId="228" xr:uid="{00000000-0005-0000-0000-00007A050000}"/>
    <cellStyle name="40% - Accent5 3 3 2" xfId="726" xr:uid="{00000000-0005-0000-0000-00007B050000}"/>
    <cellStyle name="40% - Accent5 3 3 2 2" xfId="1718" xr:uid="{00000000-0005-0000-0000-00007C050000}"/>
    <cellStyle name="40% - Accent5 3 3 3" xfId="1222" xr:uid="{00000000-0005-0000-0000-00007D050000}"/>
    <cellStyle name="40% - Accent5 3 4" xfId="400" xr:uid="{00000000-0005-0000-0000-00007E050000}"/>
    <cellStyle name="40% - Accent5 3 4 2" xfId="896" xr:uid="{00000000-0005-0000-0000-00007F050000}"/>
    <cellStyle name="40% - Accent5 3 4 2 2" xfId="1888" xr:uid="{00000000-0005-0000-0000-000080050000}"/>
    <cellStyle name="40% - Accent5 3 4 3" xfId="1392" xr:uid="{00000000-0005-0000-0000-000081050000}"/>
    <cellStyle name="40% - Accent5 3 5" xfId="570" xr:uid="{00000000-0005-0000-0000-000082050000}"/>
    <cellStyle name="40% - Accent5 3 5 2" xfId="1562" xr:uid="{00000000-0005-0000-0000-000083050000}"/>
    <cellStyle name="40% - Accent5 3 6" xfId="1066" xr:uid="{00000000-0005-0000-0000-000084050000}"/>
    <cellStyle name="40% - Accent5 4" xfId="89" xr:uid="{00000000-0005-0000-0000-000085050000}"/>
    <cellStyle name="40% - Accent5 4 2" xfId="167" xr:uid="{00000000-0005-0000-0000-000086050000}"/>
    <cellStyle name="40% - Accent5 4 2 2" xfId="323" xr:uid="{00000000-0005-0000-0000-000087050000}"/>
    <cellStyle name="40% - Accent5 4 2 2 2" xfId="821" xr:uid="{00000000-0005-0000-0000-000088050000}"/>
    <cellStyle name="40% - Accent5 4 2 2 2 2" xfId="1813" xr:uid="{00000000-0005-0000-0000-000089050000}"/>
    <cellStyle name="40% - Accent5 4 2 2 3" xfId="1317" xr:uid="{00000000-0005-0000-0000-00008A050000}"/>
    <cellStyle name="40% - Accent5 4 2 3" xfId="495" xr:uid="{00000000-0005-0000-0000-00008B050000}"/>
    <cellStyle name="40% - Accent5 4 2 3 2" xfId="991" xr:uid="{00000000-0005-0000-0000-00008C050000}"/>
    <cellStyle name="40% - Accent5 4 2 3 2 2" xfId="1983" xr:uid="{00000000-0005-0000-0000-00008D050000}"/>
    <cellStyle name="40% - Accent5 4 2 3 3" xfId="1487" xr:uid="{00000000-0005-0000-0000-00008E050000}"/>
    <cellStyle name="40% - Accent5 4 2 4" xfId="665" xr:uid="{00000000-0005-0000-0000-00008F050000}"/>
    <cellStyle name="40% - Accent5 4 2 4 2" xfId="1657" xr:uid="{00000000-0005-0000-0000-000090050000}"/>
    <cellStyle name="40% - Accent5 4 2 5" xfId="1161" xr:uid="{00000000-0005-0000-0000-000091050000}"/>
    <cellStyle name="40% - Accent5 4 3" xfId="245" xr:uid="{00000000-0005-0000-0000-000092050000}"/>
    <cellStyle name="40% - Accent5 4 3 2" xfId="743" xr:uid="{00000000-0005-0000-0000-000093050000}"/>
    <cellStyle name="40% - Accent5 4 3 2 2" xfId="1735" xr:uid="{00000000-0005-0000-0000-000094050000}"/>
    <cellStyle name="40% - Accent5 4 3 3" xfId="1239" xr:uid="{00000000-0005-0000-0000-000095050000}"/>
    <cellStyle name="40% - Accent5 4 4" xfId="417" xr:uid="{00000000-0005-0000-0000-000096050000}"/>
    <cellStyle name="40% - Accent5 4 4 2" xfId="913" xr:uid="{00000000-0005-0000-0000-000097050000}"/>
    <cellStyle name="40% - Accent5 4 4 2 2" xfId="1905" xr:uid="{00000000-0005-0000-0000-000098050000}"/>
    <cellStyle name="40% - Accent5 4 4 3" xfId="1409" xr:uid="{00000000-0005-0000-0000-000099050000}"/>
    <cellStyle name="40% - Accent5 4 5" xfId="587" xr:uid="{00000000-0005-0000-0000-00009A050000}"/>
    <cellStyle name="40% - Accent5 4 5 2" xfId="1579" xr:uid="{00000000-0005-0000-0000-00009B050000}"/>
    <cellStyle name="40% - Accent5 4 6" xfId="1083" xr:uid="{00000000-0005-0000-0000-00009C050000}"/>
    <cellStyle name="40% - Accent5 5" xfId="106" xr:uid="{00000000-0005-0000-0000-00009D050000}"/>
    <cellStyle name="40% - Accent5 5 2" xfId="184" xr:uid="{00000000-0005-0000-0000-00009E050000}"/>
    <cellStyle name="40% - Accent5 5 2 2" xfId="340" xr:uid="{00000000-0005-0000-0000-00009F050000}"/>
    <cellStyle name="40% - Accent5 5 2 2 2" xfId="838" xr:uid="{00000000-0005-0000-0000-0000A0050000}"/>
    <cellStyle name="40% - Accent5 5 2 2 2 2" xfId="1830" xr:uid="{00000000-0005-0000-0000-0000A1050000}"/>
    <cellStyle name="40% - Accent5 5 2 2 3" xfId="1334" xr:uid="{00000000-0005-0000-0000-0000A2050000}"/>
    <cellStyle name="40% - Accent5 5 2 3" xfId="512" xr:uid="{00000000-0005-0000-0000-0000A3050000}"/>
    <cellStyle name="40% - Accent5 5 2 3 2" xfId="1008" xr:uid="{00000000-0005-0000-0000-0000A4050000}"/>
    <cellStyle name="40% - Accent5 5 2 3 2 2" xfId="2000" xr:uid="{00000000-0005-0000-0000-0000A5050000}"/>
    <cellStyle name="40% - Accent5 5 2 3 3" xfId="1504" xr:uid="{00000000-0005-0000-0000-0000A6050000}"/>
    <cellStyle name="40% - Accent5 5 2 4" xfId="682" xr:uid="{00000000-0005-0000-0000-0000A7050000}"/>
    <cellStyle name="40% - Accent5 5 2 4 2" xfId="1674" xr:uid="{00000000-0005-0000-0000-0000A8050000}"/>
    <cellStyle name="40% - Accent5 5 2 5" xfId="1178" xr:uid="{00000000-0005-0000-0000-0000A9050000}"/>
    <cellStyle name="40% - Accent5 5 3" xfId="262" xr:uid="{00000000-0005-0000-0000-0000AA050000}"/>
    <cellStyle name="40% - Accent5 5 3 2" xfId="760" xr:uid="{00000000-0005-0000-0000-0000AB050000}"/>
    <cellStyle name="40% - Accent5 5 3 2 2" xfId="1752" xr:uid="{00000000-0005-0000-0000-0000AC050000}"/>
    <cellStyle name="40% - Accent5 5 3 3" xfId="1256" xr:uid="{00000000-0005-0000-0000-0000AD050000}"/>
    <cellStyle name="40% - Accent5 5 4" xfId="434" xr:uid="{00000000-0005-0000-0000-0000AE050000}"/>
    <cellStyle name="40% - Accent5 5 4 2" xfId="930" xr:uid="{00000000-0005-0000-0000-0000AF050000}"/>
    <cellStyle name="40% - Accent5 5 4 2 2" xfId="1922" xr:uid="{00000000-0005-0000-0000-0000B0050000}"/>
    <cellStyle name="40% - Accent5 5 4 3" xfId="1426" xr:uid="{00000000-0005-0000-0000-0000B1050000}"/>
    <cellStyle name="40% - Accent5 5 5" xfId="604" xr:uid="{00000000-0005-0000-0000-0000B2050000}"/>
    <cellStyle name="40% - Accent5 5 5 2" xfId="1596" xr:uid="{00000000-0005-0000-0000-0000B3050000}"/>
    <cellStyle name="40% - Accent5 5 6" xfId="1100" xr:uid="{00000000-0005-0000-0000-0000B4050000}"/>
    <cellStyle name="40% - Accent5 6" xfId="121" xr:uid="{00000000-0005-0000-0000-0000B5050000}"/>
    <cellStyle name="40% - Accent5 6 2" xfId="277" xr:uid="{00000000-0005-0000-0000-0000B6050000}"/>
    <cellStyle name="40% - Accent5 6 2 2" xfId="775" xr:uid="{00000000-0005-0000-0000-0000B7050000}"/>
    <cellStyle name="40% - Accent5 6 2 2 2" xfId="1767" xr:uid="{00000000-0005-0000-0000-0000B8050000}"/>
    <cellStyle name="40% - Accent5 6 2 3" xfId="1271" xr:uid="{00000000-0005-0000-0000-0000B9050000}"/>
    <cellStyle name="40% - Accent5 6 3" xfId="449" xr:uid="{00000000-0005-0000-0000-0000BA050000}"/>
    <cellStyle name="40% - Accent5 6 3 2" xfId="945" xr:uid="{00000000-0005-0000-0000-0000BB050000}"/>
    <cellStyle name="40% - Accent5 6 3 2 2" xfId="1937" xr:uid="{00000000-0005-0000-0000-0000BC050000}"/>
    <cellStyle name="40% - Accent5 6 3 3" xfId="1441" xr:uid="{00000000-0005-0000-0000-0000BD050000}"/>
    <cellStyle name="40% - Accent5 6 4" xfId="619" xr:uid="{00000000-0005-0000-0000-0000BE050000}"/>
    <cellStyle name="40% - Accent5 6 4 2" xfId="1611" xr:uid="{00000000-0005-0000-0000-0000BF050000}"/>
    <cellStyle name="40% - Accent5 6 5" xfId="1115" xr:uid="{00000000-0005-0000-0000-0000C0050000}"/>
    <cellStyle name="40% - Accent5 7" xfId="356" xr:uid="{00000000-0005-0000-0000-0000C1050000}"/>
    <cellStyle name="40% - Accent5 7 2" xfId="854" xr:uid="{00000000-0005-0000-0000-0000C2050000}"/>
    <cellStyle name="40% - Accent5 7 2 2" xfId="1846" xr:uid="{00000000-0005-0000-0000-0000C3050000}"/>
    <cellStyle name="40% - Accent5 7 3" xfId="1350" xr:uid="{00000000-0005-0000-0000-0000C4050000}"/>
    <cellStyle name="40% - Accent5 8" xfId="199" xr:uid="{00000000-0005-0000-0000-0000C5050000}"/>
    <cellStyle name="40% - Accent5 8 2" xfId="697" xr:uid="{00000000-0005-0000-0000-0000C6050000}"/>
    <cellStyle name="40% - Accent5 8 2 2" xfId="1689" xr:uid="{00000000-0005-0000-0000-0000C7050000}"/>
    <cellStyle name="40% - Accent5 8 3" xfId="1193" xr:uid="{00000000-0005-0000-0000-0000C8050000}"/>
    <cellStyle name="40% - Accent5 9" xfId="371" xr:uid="{00000000-0005-0000-0000-0000C9050000}"/>
    <cellStyle name="40% - Accent5 9 2" xfId="867" xr:uid="{00000000-0005-0000-0000-0000CA050000}"/>
    <cellStyle name="40% - Accent5 9 2 2" xfId="1859" xr:uid="{00000000-0005-0000-0000-0000CB050000}"/>
    <cellStyle name="40% - Accent5 9 3" xfId="1363" xr:uid="{00000000-0005-0000-0000-0000CC050000}"/>
    <cellStyle name="40% - Accent6" xfId="40" builtinId="51" customBuiltin="1"/>
    <cellStyle name="40% - Accent6 10" xfId="530" xr:uid="{00000000-0005-0000-0000-0000CE050000}"/>
    <cellStyle name="40% - Accent6 10 2" xfId="1522" xr:uid="{00000000-0005-0000-0000-0000CF050000}"/>
    <cellStyle name="40% - Accent6 11" xfId="543" xr:uid="{00000000-0005-0000-0000-0000D0050000}"/>
    <cellStyle name="40% - Accent6 11 2" xfId="1535" xr:uid="{00000000-0005-0000-0000-0000D1050000}"/>
    <cellStyle name="40% - Accent6 12" xfId="1026" xr:uid="{00000000-0005-0000-0000-0000D2050000}"/>
    <cellStyle name="40% - Accent6 13" xfId="1039" xr:uid="{00000000-0005-0000-0000-0000D3050000}"/>
    <cellStyle name="40% - Accent6 14" xfId="2019" xr:uid="{00000000-0005-0000-0000-0000D4050000}"/>
    <cellStyle name="40% - Accent6 15" xfId="2035" xr:uid="{00000000-0005-0000-0000-0000D5050000}"/>
    <cellStyle name="40% - Accent6 16" xfId="2051" xr:uid="{00000000-0005-0000-0000-0000D6050000}"/>
    <cellStyle name="40% - Accent6 17" xfId="2065" xr:uid="{00000000-0005-0000-0000-0000D7050000}"/>
    <cellStyle name="40% - Accent6 18" xfId="2079" xr:uid="{00000000-0005-0000-0000-0000D8050000}"/>
    <cellStyle name="40% - Accent6 19" xfId="2093" xr:uid="{00000000-0005-0000-0000-0000D9050000}"/>
    <cellStyle name="40% - Accent6 2" xfId="56" xr:uid="{00000000-0005-0000-0000-0000DA050000}"/>
    <cellStyle name="40% - Accent6 2 2" xfId="137" xr:uid="{00000000-0005-0000-0000-0000DB050000}"/>
    <cellStyle name="40% - Accent6 2 2 2" xfId="293" xr:uid="{00000000-0005-0000-0000-0000DC050000}"/>
    <cellStyle name="40% - Accent6 2 2 2 2" xfId="791" xr:uid="{00000000-0005-0000-0000-0000DD050000}"/>
    <cellStyle name="40% - Accent6 2 2 2 2 2" xfId="1783" xr:uid="{00000000-0005-0000-0000-0000DE050000}"/>
    <cellStyle name="40% - Accent6 2 2 2 3" xfId="1287" xr:uid="{00000000-0005-0000-0000-0000DF050000}"/>
    <cellStyle name="40% - Accent6 2 2 3" xfId="465" xr:uid="{00000000-0005-0000-0000-0000E0050000}"/>
    <cellStyle name="40% - Accent6 2 2 3 2" xfId="961" xr:uid="{00000000-0005-0000-0000-0000E1050000}"/>
    <cellStyle name="40% - Accent6 2 2 3 2 2" xfId="1953" xr:uid="{00000000-0005-0000-0000-0000E2050000}"/>
    <cellStyle name="40% - Accent6 2 2 3 3" xfId="1457" xr:uid="{00000000-0005-0000-0000-0000E3050000}"/>
    <cellStyle name="40% - Accent6 2 2 4" xfId="635" xr:uid="{00000000-0005-0000-0000-0000E4050000}"/>
    <cellStyle name="40% - Accent6 2 2 4 2" xfId="1627" xr:uid="{00000000-0005-0000-0000-0000E5050000}"/>
    <cellStyle name="40% - Accent6 2 2 5" xfId="1131" xr:uid="{00000000-0005-0000-0000-0000E6050000}"/>
    <cellStyle name="40% - Accent6 2 3" xfId="215" xr:uid="{00000000-0005-0000-0000-0000E7050000}"/>
    <cellStyle name="40% - Accent6 2 3 2" xfId="713" xr:uid="{00000000-0005-0000-0000-0000E8050000}"/>
    <cellStyle name="40% - Accent6 2 3 2 2" xfId="1705" xr:uid="{00000000-0005-0000-0000-0000E9050000}"/>
    <cellStyle name="40% - Accent6 2 3 3" xfId="1209" xr:uid="{00000000-0005-0000-0000-0000EA050000}"/>
    <cellStyle name="40% - Accent6 2 4" xfId="387" xr:uid="{00000000-0005-0000-0000-0000EB050000}"/>
    <cellStyle name="40% - Accent6 2 4 2" xfId="883" xr:uid="{00000000-0005-0000-0000-0000EC050000}"/>
    <cellStyle name="40% - Accent6 2 4 2 2" xfId="1875" xr:uid="{00000000-0005-0000-0000-0000ED050000}"/>
    <cellStyle name="40% - Accent6 2 4 3" xfId="1379" xr:uid="{00000000-0005-0000-0000-0000EE050000}"/>
    <cellStyle name="40% - Accent6 2 5" xfId="557" xr:uid="{00000000-0005-0000-0000-0000EF050000}"/>
    <cellStyle name="40% - Accent6 2 5 2" xfId="1549" xr:uid="{00000000-0005-0000-0000-0000F0050000}"/>
    <cellStyle name="40% - Accent6 2 6" xfId="1053" xr:uid="{00000000-0005-0000-0000-0000F1050000}"/>
    <cellStyle name="40% - Accent6 20" xfId="2107" xr:uid="{00000000-0005-0000-0000-0000F2050000}"/>
    <cellStyle name="40% - Accent6 21" xfId="2122" xr:uid="{00000000-0005-0000-0000-0000F3050000}"/>
    <cellStyle name="40% - Accent6 3" xfId="73" xr:uid="{00000000-0005-0000-0000-0000F4050000}"/>
    <cellStyle name="40% - Accent6 3 2" xfId="152" xr:uid="{00000000-0005-0000-0000-0000F5050000}"/>
    <cellStyle name="40% - Accent6 3 2 2" xfId="308" xr:uid="{00000000-0005-0000-0000-0000F6050000}"/>
    <cellStyle name="40% - Accent6 3 2 2 2" xfId="806" xr:uid="{00000000-0005-0000-0000-0000F7050000}"/>
    <cellStyle name="40% - Accent6 3 2 2 2 2" xfId="1798" xr:uid="{00000000-0005-0000-0000-0000F8050000}"/>
    <cellStyle name="40% - Accent6 3 2 2 3" xfId="1302" xr:uid="{00000000-0005-0000-0000-0000F9050000}"/>
    <cellStyle name="40% - Accent6 3 2 3" xfId="480" xr:uid="{00000000-0005-0000-0000-0000FA050000}"/>
    <cellStyle name="40% - Accent6 3 2 3 2" xfId="976" xr:uid="{00000000-0005-0000-0000-0000FB050000}"/>
    <cellStyle name="40% - Accent6 3 2 3 2 2" xfId="1968" xr:uid="{00000000-0005-0000-0000-0000FC050000}"/>
    <cellStyle name="40% - Accent6 3 2 3 3" xfId="1472" xr:uid="{00000000-0005-0000-0000-0000FD050000}"/>
    <cellStyle name="40% - Accent6 3 2 4" xfId="650" xr:uid="{00000000-0005-0000-0000-0000FE050000}"/>
    <cellStyle name="40% - Accent6 3 2 4 2" xfId="1642" xr:uid="{00000000-0005-0000-0000-0000FF050000}"/>
    <cellStyle name="40% - Accent6 3 2 5" xfId="1146" xr:uid="{00000000-0005-0000-0000-000000060000}"/>
    <cellStyle name="40% - Accent6 3 3" xfId="230" xr:uid="{00000000-0005-0000-0000-000001060000}"/>
    <cellStyle name="40% - Accent6 3 3 2" xfId="728" xr:uid="{00000000-0005-0000-0000-000002060000}"/>
    <cellStyle name="40% - Accent6 3 3 2 2" xfId="1720" xr:uid="{00000000-0005-0000-0000-000003060000}"/>
    <cellStyle name="40% - Accent6 3 3 3" xfId="1224" xr:uid="{00000000-0005-0000-0000-000004060000}"/>
    <cellStyle name="40% - Accent6 3 4" xfId="402" xr:uid="{00000000-0005-0000-0000-000005060000}"/>
    <cellStyle name="40% - Accent6 3 4 2" xfId="898" xr:uid="{00000000-0005-0000-0000-000006060000}"/>
    <cellStyle name="40% - Accent6 3 4 2 2" xfId="1890" xr:uid="{00000000-0005-0000-0000-000007060000}"/>
    <cellStyle name="40% - Accent6 3 4 3" xfId="1394" xr:uid="{00000000-0005-0000-0000-000008060000}"/>
    <cellStyle name="40% - Accent6 3 5" xfId="572" xr:uid="{00000000-0005-0000-0000-000009060000}"/>
    <cellStyle name="40% - Accent6 3 5 2" xfId="1564" xr:uid="{00000000-0005-0000-0000-00000A060000}"/>
    <cellStyle name="40% - Accent6 3 6" xfId="1068" xr:uid="{00000000-0005-0000-0000-00000B060000}"/>
    <cellStyle name="40% - Accent6 4" xfId="91" xr:uid="{00000000-0005-0000-0000-00000C060000}"/>
    <cellStyle name="40% - Accent6 4 2" xfId="169" xr:uid="{00000000-0005-0000-0000-00000D060000}"/>
    <cellStyle name="40% - Accent6 4 2 2" xfId="325" xr:uid="{00000000-0005-0000-0000-00000E060000}"/>
    <cellStyle name="40% - Accent6 4 2 2 2" xfId="823" xr:uid="{00000000-0005-0000-0000-00000F060000}"/>
    <cellStyle name="40% - Accent6 4 2 2 2 2" xfId="1815" xr:uid="{00000000-0005-0000-0000-000010060000}"/>
    <cellStyle name="40% - Accent6 4 2 2 3" xfId="1319" xr:uid="{00000000-0005-0000-0000-000011060000}"/>
    <cellStyle name="40% - Accent6 4 2 3" xfId="497" xr:uid="{00000000-0005-0000-0000-000012060000}"/>
    <cellStyle name="40% - Accent6 4 2 3 2" xfId="993" xr:uid="{00000000-0005-0000-0000-000013060000}"/>
    <cellStyle name="40% - Accent6 4 2 3 2 2" xfId="1985" xr:uid="{00000000-0005-0000-0000-000014060000}"/>
    <cellStyle name="40% - Accent6 4 2 3 3" xfId="1489" xr:uid="{00000000-0005-0000-0000-000015060000}"/>
    <cellStyle name="40% - Accent6 4 2 4" xfId="667" xr:uid="{00000000-0005-0000-0000-000016060000}"/>
    <cellStyle name="40% - Accent6 4 2 4 2" xfId="1659" xr:uid="{00000000-0005-0000-0000-000017060000}"/>
    <cellStyle name="40% - Accent6 4 2 5" xfId="1163" xr:uid="{00000000-0005-0000-0000-000018060000}"/>
    <cellStyle name="40% - Accent6 4 3" xfId="247" xr:uid="{00000000-0005-0000-0000-000019060000}"/>
    <cellStyle name="40% - Accent6 4 3 2" xfId="745" xr:uid="{00000000-0005-0000-0000-00001A060000}"/>
    <cellStyle name="40% - Accent6 4 3 2 2" xfId="1737" xr:uid="{00000000-0005-0000-0000-00001B060000}"/>
    <cellStyle name="40% - Accent6 4 3 3" xfId="1241" xr:uid="{00000000-0005-0000-0000-00001C060000}"/>
    <cellStyle name="40% - Accent6 4 4" xfId="419" xr:uid="{00000000-0005-0000-0000-00001D060000}"/>
    <cellStyle name="40% - Accent6 4 4 2" xfId="915" xr:uid="{00000000-0005-0000-0000-00001E060000}"/>
    <cellStyle name="40% - Accent6 4 4 2 2" xfId="1907" xr:uid="{00000000-0005-0000-0000-00001F060000}"/>
    <cellStyle name="40% - Accent6 4 4 3" xfId="1411" xr:uid="{00000000-0005-0000-0000-000020060000}"/>
    <cellStyle name="40% - Accent6 4 5" xfId="589" xr:uid="{00000000-0005-0000-0000-000021060000}"/>
    <cellStyle name="40% - Accent6 4 5 2" xfId="1581" xr:uid="{00000000-0005-0000-0000-000022060000}"/>
    <cellStyle name="40% - Accent6 4 6" xfId="1085" xr:uid="{00000000-0005-0000-0000-000023060000}"/>
    <cellStyle name="40% - Accent6 5" xfId="108" xr:uid="{00000000-0005-0000-0000-000024060000}"/>
    <cellStyle name="40% - Accent6 5 2" xfId="186" xr:uid="{00000000-0005-0000-0000-000025060000}"/>
    <cellStyle name="40% - Accent6 5 2 2" xfId="342" xr:uid="{00000000-0005-0000-0000-000026060000}"/>
    <cellStyle name="40% - Accent6 5 2 2 2" xfId="840" xr:uid="{00000000-0005-0000-0000-000027060000}"/>
    <cellStyle name="40% - Accent6 5 2 2 2 2" xfId="1832" xr:uid="{00000000-0005-0000-0000-000028060000}"/>
    <cellStyle name="40% - Accent6 5 2 2 3" xfId="1336" xr:uid="{00000000-0005-0000-0000-000029060000}"/>
    <cellStyle name="40% - Accent6 5 2 3" xfId="514" xr:uid="{00000000-0005-0000-0000-00002A060000}"/>
    <cellStyle name="40% - Accent6 5 2 3 2" xfId="1010" xr:uid="{00000000-0005-0000-0000-00002B060000}"/>
    <cellStyle name="40% - Accent6 5 2 3 2 2" xfId="2002" xr:uid="{00000000-0005-0000-0000-00002C060000}"/>
    <cellStyle name="40% - Accent6 5 2 3 3" xfId="1506" xr:uid="{00000000-0005-0000-0000-00002D060000}"/>
    <cellStyle name="40% - Accent6 5 2 4" xfId="684" xr:uid="{00000000-0005-0000-0000-00002E060000}"/>
    <cellStyle name="40% - Accent6 5 2 4 2" xfId="1676" xr:uid="{00000000-0005-0000-0000-00002F060000}"/>
    <cellStyle name="40% - Accent6 5 2 5" xfId="1180" xr:uid="{00000000-0005-0000-0000-000030060000}"/>
    <cellStyle name="40% - Accent6 5 3" xfId="264" xr:uid="{00000000-0005-0000-0000-000031060000}"/>
    <cellStyle name="40% - Accent6 5 3 2" xfId="762" xr:uid="{00000000-0005-0000-0000-000032060000}"/>
    <cellStyle name="40% - Accent6 5 3 2 2" xfId="1754" xr:uid="{00000000-0005-0000-0000-000033060000}"/>
    <cellStyle name="40% - Accent6 5 3 3" xfId="1258" xr:uid="{00000000-0005-0000-0000-000034060000}"/>
    <cellStyle name="40% - Accent6 5 4" xfId="436" xr:uid="{00000000-0005-0000-0000-000035060000}"/>
    <cellStyle name="40% - Accent6 5 4 2" xfId="932" xr:uid="{00000000-0005-0000-0000-000036060000}"/>
    <cellStyle name="40% - Accent6 5 4 2 2" xfId="1924" xr:uid="{00000000-0005-0000-0000-000037060000}"/>
    <cellStyle name="40% - Accent6 5 4 3" xfId="1428" xr:uid="{00000000-0005-0000-0000-000038060000}"/>
    <cellStyle name="40% - Accent6 5 5" xfId="606" xr:uid="{00000000-0005-0000-0000-000039060000}"/>
    <cellStyle name="40% - Accent6 5 5 2" xfId="1598" xr:uid="{00000000-0005-0000-0000-00003A060000}"/>
    <cellStyle name="40% - Accent6 5 6" xfId="1102" xr:uid="{00000000-0005-0000-0000-00003B060000}"/>
    <cellStyle name="40% - Accent6 6" xfId="123" xr:uid="{00000000-0005-0000-0000-00003C060000}"/>
    <cellStyle name="40% - Accent6 6 2" xfId="279" xr:uid="{00000000-0005-0000-0000-00003D060000}"/>
    <cellStyle name="40% - Accent6 6 2 2" xfId="777" xr:uid="{00000000-0005-0000-0000-00003E060000}"/>
    <cellStyle name="40% - Accent6 6 2 2 2" xfId="1769" xr:uid="{00000000-0005-0000-0000-00003F060000}"/>
    <cellStyle name="40% - Accent6 6 2 3" xfId="1273" xr:uid="{00000000-0005-0000-0000-000040060000}"/>
    <cellStyle name="40% - Accent6 6 3" xfId="451" xr:uid="{00000000-0005-0000-0000-000041060000}"/>
    <cellStyle name="40% - Accent6 6 3 2" xfId="947" xr:uid="{00000000-0005-0000-0000-000042060000}"/>
    <cellStyle name="40% - Accent6 6 3 2 2" xfId="1939" xr:uid="{00000000-0005-0000-0000-000043060000}"/>
    <cellStyle name="40% - Accent6 6 3 3" xfId="1443" xr:uid="{00000000-0005-0000-0000-000044060000}"/>
    <cellStyle name="40% - Accent6 6 4" xfId="621" xr:uid="{00000000-0005-0000-0000-000045060000}"/>
    <cellStyle name="40% - Accent6 6 4 2" xfId="1613" xr:uid="{00000000-0005-0000-0000-000046060000}"/>
    <cellStyle name="40% - Accent6 6 5" xfId="1117" xr:uid="{00000000-0005-0000-0000-000047060000}"/>
    <cellStyle name="40% - Accent6 7" xfId="358" xr:uid="{00000000-0005-0000-0000-000048060000}"/>
    <cellStyle name="40% - Accent6 7 2" xfId="856" xr:uid="{00000000-0005-0000-0000-000049060000}"/>
    <cellStyle name="40% - Accent6 7 2 2" xfId="1848" xr:uid="{00000000-0005-0000-0000-00004A060000}"/>
    <cellStyle name="40% - Accent6 7 3" xfId="1352" xr:uid="{00000000-0005-0000-0000-00004B060000}"/>
    <cellStyle name="40% - Accent6 8" xfId="201" xr:uid="{00000000-0005-0000-0000-00004C060000}"/>
    <cellStyle name="40% - Accent6 8 2" xfId="699" xr:uid="{00000000-0005-0000-0000-00004D060000}"/>
    <cellStyle name="40% - Accent6 8 2 2" xfId="1691" xr:uid="{00000000-0005-0000-0000-00004E060000}"/>
    <cellStyle name="40% - Accent6 8 3" xfId="1195" xr:uid="{00000000-0005-0000-0000-00004F060000}"/>
    <cellStyle name="40% - Accent6 9" xfId="373" xr:uid="{00000000-0005-0000-0000-000050060000}"/>
    <cellStyle name="40% - Accent6 9 2" xfId="869" xr:uid="{00000000-0005-0000-0000-000051060000}"/>
    <cellStyle name="40% - Accent6 9 2 2" xfId="1861" xr:uid="{00000000-0005-0000-0000-000052060000}"/>
    <cellStyle name="40% - Accent6 9 3" xfId="1365" xr:uid="{00000000-0005-0000-0000-00005306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2127" builtinId="3"/>
    <cellStyle name="Comma 2" xfId="60" xr:uid="{00000000-0005-0000-0000-000064060000}"/>
    <cellStyle name="Comma 2 2" xfId="139" xr:uid="{00000000-0005-0000-0000-000065060000}"/>
    <cellStyle name="Comma 2 2 2" xfId="295" xr:uid="{00000000-0005-0000-0000-000066060000}"/>
    <cellStyle name="Comma 2 2 2 2" xfId="793" xr:uid="{00000000-0005-0000-0000-000067060000}"/>
    <cellStyle name="Comma 2 2 2 2 2" xfId="1785" xr:uid="{00000000-0005-0000-0000-000068060000}"/>
    <cellStyle name="Comma 2 2 2 3" xfId="1289" xr:uid="{00000000-0005-0000-0000-000069060000}"/>
    <cellStyle name="Comma 2 2 3" xfId="467" xr:uid="{00000000-0005-0000-0000-00006A060000}"/>
    <cellStyle name="Comma 2 2 3 2" xfId="963" xr:uid="{00000000-0005-0000-0000-00006B060000}"/>
    <cellStyle name="Comma 2 2 3 2 2" xfId="1955" xr:uid="{00000000-0005-0000-0000-00006C060000}"/>
    <cellStyle name="Comma 2 2 3 3" xfId="1459" xr:uid="{00000000-0005-0000-0000-00006D060000}"/>
    <cellStyle name="Comma 2 2 4" xfId="637" xr:uid="{00000000-0005-0000-0000-00006E060000}"/>
    <cellStyle name="Comma 2 2 4 2" xfId="1629" xr:uid="{00000000-0005-0000-0000-00006F060000}"/>
    <cellStyle name="Comma 2 2 5" xfId="1133" xr:uid="{00000000-0005-0000-0000-000070060000}"/>
    <cellStyle name="Comma 2 3" xfId="217" xr:uid="{00000000-0005-0000-0000-000071060000}"/>
    <cellStyle name="Comma 2 3 2" xfId="715" xr:uid="{00000000-0005-0000-0000-000072060000}"/>
    <cellStyle name="Comma 2 3 2 2" xfId="1707" xr:uid="{00000000-0005-0000-0000-000073060000}"/>
    <cellStyle name="Comma 2 3 3" xfId="1211" xr:uid="{00000000-0005-0000-0000-000074060000}"/>
    <cellStyle name="Comma 2 4" xfId="389" xr:uid="{00000000-0005-0000-0000-000075060000}"/>
    <cellStyle name="Comma 2 4 2" xfId="885" xr:uid="{00000000-0005-0000-0000-000076060000}"/>
    <cellStyle name="Comma 2 4 2 2" xfId="1877" xr:uid="{00000000-0005-0000-0000-000077060000}"/>
    <cellStyle name="Comma 2 4 3" xfId="1381" xr:uid="{00000000-0005-0000-0000-000078060000}"/>
    <cellStyle name="Comma 2 5" xfId="559" xr:uid="{00000000-0005-0000-0000-000079060000}"/>
    <cellStyle name="Comma 2 5 2" xfId="1551" xr:uid="{00000000-0005-0000-0000-00007A060000}"/>
    <cellStyle name="Comma 2 6" xfId="1055" xr:uid="{00000000-0005-0000-0000-00007B060000}"/>
    <cellStyle name="Comma 3" xfId="78" xr:uid="{00000000-0005-0000-0000-00007C060000}"/>
    <cellStyle name="Comma 3 2" xfId="156" xr:uid="{00000000-0005-0000-0000-00007D060000}"/>
    <cellStyle name="Comma 3 2 2" xfId="312" xr:uid="{00000000-0005-0000-0000-00007E060000}"/>
    <cellStyle name="Comma 3 2 2 2" xfId="810" xr:uid="{00000000-0005-0000-0000-00007F060000}"/>
    <cellStyle name="Comma 3 2 2 2 2" xfId="1802" xr:uid="{00000000-0005-0000-0000-000080060000}"/>
    <cellStyle name="Comma 3 2 2 3" xfId="1306" xr:uid="{00000000-0005-0000-0000-000081060000}"/>
    <cellStyle name="Comma 3 2 3" xfId="484" xr:uid="{00000000-0005-0000-0000-000082060000}"/>
    <cellStyle name="Comma 3 2 3 2" xfId="980" xr:uid="{00000000-0005-0000-0000-000083060000}"/>
    <cellStyle name="Comma 3 2 3 2 2" xfId="1972" xr:uid="{00000000-0005-0000-0000-000084060000}"/>
    <cellStyle name="Comma 3 2 3 3" xfId="1476" xr:uid="{00000000-0005-0000-0000-000085060000}"/>
    <cellStyle name="Comma 3 2 4" xfId="654" xr:uid="{00000000-0005-0000-0000-000086060000}"/>
    <cellStyle name="Comma 3 2 4 2" xfId="1646" xr:uid="{00000000-0005-0000-0000-000087060000}"/>
    <cellStyle name="Comma 3 2 5" xfId="1150" xr:uid="{00000000-0005-0000-0000-000088060000}"/>
    <cellStyle name="Comma 3 3" xfId="234" xr:uid="{00000000-0005-0000-0000-000089060000}"/>
    <cellStyle name="Comma 3 3 2" xfId="732" xr:uid="{00000000-0005-0000-0000-00008A060000}"/>
    <cellStyle name="Comma 3 3 2 2" xfId="1724" xr:uid="{00000000-0005-0000-0000-00008B060000}"/>
    <cellStyle name="Comma 3 3 3" xfId="1228" xr:uid="{00000000-0005-0000-0000-00008C060000}"/>
    <cellStyle name="Comma 3 4" xfId="406" xr:uid="{00000000-0005-0000-0000-00008D060000}"/>
    <cellStyle name="Comma 3 4 2" xfId="902" xr:uid="{00000000-0005-0000-0000-00008E060000}"/>
    <cellStyle name="Comma 3 4 2 2" xfId="1894" xr:uid="{00000000-0005-0000-0000-00008F060000}"/>
    <cellStyle name="Comma 3 4 3" xfId="1398" xr:uid="{00000000-0005-0000-0000-000090060000}"/>
    <cellStyle name="Comma 3 5" xfId="576" xr:uid="{00000000-0005-0000-0000-000091060000}"/>
    <cellStyle name="Comma 3 5 2" xfId="1568" xr:uid="{00000000-0005-0000-0000-000092060000}"/>
    <cellStyle name="Comma 3 6" xfId="1072" xr:uid="{00000000-0005-0000-0000-000093060000}"/>
    <cellStyle name="Comma 4" xfId="95" xr:uid="{00000000-0005-0000-0000-000094060000}"/>
    <cellStyle name="Comma 4 2" xfId="173" xr:uid="{00000000-0005-0000-0000-000095060000}"/>
    <cellStyle name="Comma 4 2 2" xfId="329" xr:uid="{00000000-0005-0000-0000-000096060000}"/>
    <cellStyle name="Comma 4 2 2 2" xfId="827" xr:uid="{00000000-0005-0000-0000-000097060000}"/>
    <cellStyle name="Comma 4 2 2 2 2" xfId="1819" xr:uid="{00000000-0005-0000-0000-000098060000}"/>
    <cellStyle name="Comma 4 2 2 3" xfId="1323" xr:uid="{00000000-0005-0000-0000-000099060000}"/>
    <cellStyle name="Comma 4 2 3" xfId="501" xr:uid="{00000000-0005-0000-0000-00009A060000}"/>
    <cellStyle name="Comma 4 2 3 2" xfId="997" xr:uid="{00000000-0005-0000-0000-00009B060000}"/>
    <cellStyle name="Comma 4 2 3 2 2" xfId="1989" xr:uid="{00000000-0005-0000-0000-00009C060000}"/>
    <cellStyle name="Comma 4 2 3 3" xfId="1493" xr:uid="{00000000-0005-0000-0000-00009D060000}"/>
    <cellStyle name="Comma 4 2 4" xfId="671" xr:uid="{00000000-0005-0000-0000-00009E060000}"/>
    <cellStyle name="Comma 4 2 4 2" xfId="1663" xr:uid="{00000000-0005-0000-0000-00009F060000}"/>
    <cellStyle name="Comma 4 2 5" xfId="1167" xr:uid="{00000000-0005-0000-0000-0000A0060000}"/>
    <cellStyle name="Comma 4 3" xfId="251" xr:uid="{00000000-0005-0000-0000-0000A1060000}"/>
    <cellStyle name="Comma 4 3 2" xfId="749" xr:uid="{00000000-0005-0000-0000-0000A2060000}"/>
    <cellStyle name="Comma 4 3 2 2" xfId="1741" xr:uid="{00000000-0005-0000-0000-0000A3060000}"/>
    <cellStyle name="Comma 4 3 3" xfId="1245" xr:uid="{00000000-0005-0000-0000-0000A4060000}"/>
    <cellStyle name="Comma 4 4" xfId="423" xr:uid="{00000000-0005-0000-0000-0000A5060000}"/>
    <cellStyle name="Comma 4 4 2" xfId="919" xr:uid="{00000000-0005-0000-0000-0000A6060000}"/>
    <cellStyle name="Comma 4 4 2 2" xfId="1911" xr:uid="{00000000-0005-0000-0000-0000A7060000}"/>
    <cellStyle name="Comma 4 4 3" xfId="1415" xr:uid="{00000000-0005-0000-0000-0000A8060000}"/>
    <cellStyle name="Comma 4 5" xfId="593" xr:uid="{00000000-0005-0000-0000-0000A9060000}"/>
    <cellStyle name="Comma 4 5 2" xfId="1585" xr:uid="{00000000-0005-0000-0000-0000AA060000}"/>
    <cellStyle name="Comma 4 6" xfId="1089" xr:uid="{00000000-0005-0000-0000-0000AB060000}"/>
    <cellStyle name="Comma 5" xfId="2006" xr:uid="{00000000-0005-0000-0000-0000AC060000}"/>
    <cellStyle name="Comma 6" xfId="2109" xr:uid="{00000000-0005-0000-0000-0000AD060000}"/>
    <cellStyle name="Comma 7" xfId="360" xr:uid="{00000000-0005-0000-0000-0000AE060000}"/>
    <cellStyle name="Currency" xfId="2124" builtinId="4"/>
    <cellStyle name="Currency 2" xfId="75" xr:uid="{00000000-0005-0000-0000-0000B0060000}"/>
    <cellStyle name="Currency 2 2" xfId="153" xr:uid="{00000000-0005-0000-0000-0000B1060000}"/>
    <cellStyle name="Currency 2 2 2" xfId="309" xr:uid="{00000000-0005-0000-0000-0000B2060000}"/>
    <cellStyle name="Currency 2 2 2 2" xfId="807" xr:uid="{00000000-0005-0000-0000-0000B3060000}"/>
    <cellStyle name="Currency 2 2 2 2 2" xfId="1799" xr:uid="{00000000-0005-0000-0000-0000B4060000}"/>
    <cellStyle name="Currency 2 2 2 3" xfId="1303" xr:uid="{00000000-0005-0000-0000-0000B5060000}"/>
    <cellStyle name="Currency 2 2 3" xfId="481" xr:uid="{00000000-0005-0000-0000-0000B6060000}"/>
    <cellStyle name="Currency 2 2 3 2" xfId="977" xr:uid="{00000000-0005-0000-0000-0000B7060000}"/>
    <cellStyle name="Currency 2 2 3 2 2" xfId="1969" xr:uid="{00000000-0005-0000-0000-0000B8060000}"/>
    <cellStyle name="Currency 2 2 3 3" xfId="1473" xr:uid="{00000000-0005-0000-0000-0000B9060000}"/>
    <cellStyle name="Currency 2 2 4" xfId="651" xr:uid="{00000000-0005-0000-0000-0000BA060000}"/>
    <cellStyle name="Currency 2 2 4 2" xfId="1643" xr:uid="{00000000-0005-0000-0000-0000BB060000}"/>
    <cellStyle name="Currency 2 2 5" xfId="1147" xr:uid="{00000000-0005-0000-0000-0000BC060000}"/>
    <cellStyle name="Currency 2 3" xfId="231" xr:uid="{00000000-0005-0000-0000-0000BD060000}"/>
    <cellStyle name="Currency 2 3 2" xfId="729" xr:uid="{00000000-0005-0000-0000-0000BE060000}"/>
    <cellStyle name="Currency 2 3 2 2" xfId="1721" xr:uid="{00000000-0005-0000-0000-0000BF060000}"/>
    <cellStyle name="Currency 2 3 3" xfId="1225" xr:uid="{00000000-0005-0000-0000-0000C0060000}"/>
    <cellStyle name="Currency 2 4" xfId="403" xr:uid="{00000000-0005-0000-0000-0000C1060000}"/>
    <cellStyle name="Currency 2 4 2" xfId="899" xr:uid="{00000000-0005-0000-0000-0000C2060000}"/>
    <cellStyle name="Currency 2 4 2 2" xfId="1891" xr:uid="{00000000-0005-0000-0000-0000C3060000}"/>
    <cellStyle name="Currency 2 4 3" xfId="1395" xr:uid="{00000000-0005-0000-0000-0000C4060000}"/>
    <cellStyle name="Currency 2 5" xfId="573" xr:uid="{00000000-0005-0000-0000-0000C5060000}"/>
    <cellStyle name="Currency 2 5 2" xfId="1565" xr:uid="{00000000-0005-0000-0000-0000C6060000}"/>
    <cellStyle name="Currency 2 6" xfId="1069" xr:uid="{00000000-0005-0000-0000-0000C7060000}"/>
    <cellStyle name="Currency 2 7" xfId="2131" xr:uid="{00000000-0005-0000-0000-0000C8060000}"/>
    <cellStyle name="Currency 3" xfId="92" xr:uid="{00000000-0005-0000-0000-0000C9060000}"/>
    <cellStyle name="Currency 3 2" xfId="170" xr:uid="{00000000-0005-0000-0000-0000CA060000}"/>
    <cellStyle name="Currency 3 2 2" xfId="326" xr:uid="{00000000-0005-0000-0000-0000CB060000}"/>
    <cellStyle name="Currency 3 2 2 2" xfId="824" xr:uid="{00000000-0005-0000-0000-0000CC060000}"/>
    <cellStyle name="Currency 3 2 2 2 2" xfId="1816" xr:uid="{00000000-0005-0000-0000-0000CD060000}"/>
    <cellStyle name="Currency 3 2 2 3" xfId="1320" xr:uid="{00000000-0005-0000-0000-0000CE060000}"/>
    <cellStyle name="Currency 3 2 3" xfId="498" xr:uid="{00000000-0005-0000-0000-0000CF060000}"/>
    <cellStyle name="Currency 3 2 3 2" xfId="994" xr:uid="{00000000-0005-0000-0000-0000D0060000}"/>
    <cellStyle name="Currency 3 2 3 2 2" xfId="1986" xr:uid="{00000000-0005-0000-0000-0000D1060000}"/>
    <cellStyle name="Currency 3 2 3 3" xfId="1490" xr:uid="{00000000-0005-0000-0000-0000D2060000}"/>
    <cellStyle name="Currency 3 2 4" xfId="668" xr:uid="{00000000-0005-0000-0000-0000D3060000}"/>
    <cellStyle name="Currency 3 2 4 2" xfId="1660" xr:uid="{00000000-0005-0000-0000-0000D4060000}"/>
    <cellStyle name="Currency 3 2 5" xfId="1164" xr:uid="{00000000-0005-0000-0000-0000D5060000}"/>
    <cellStyle name="Currency 3 3" xfId="248" xr:uid="{00000000-0005-0000-0000-0000D6060000}"/>
    <cellStyle name="Currency 3 3 2" xfId="746" xr:uid="{00000000-0005-0000-0000-0000D7060000}"/>
    <cellStyle name="Currency 3 3 2 2" xfId="1738" xr:uid="{00000000-0005-0000-0000-0000D8060000}"/>
    <cellStyle name="Currency 3 3 3" xfId="1242" xr:uid="{00000000-0005-0000-0000-0000D9060000}"/>
    <cellStyle name="Currency 3 4" xfId="420" xr:uid="{00000000-0005-0000-0000-0000DA060000}"/>
    <cellStyle name="Currency 3 4 2" xfId="916" xr:uid="{00000000-0005-0000-0000-0000DB060000}"/>
    <cellStyle name="Currency 3 4 2 2" xfId="1908" xr:uid="{00000000-0005-0000-0000-0000DC060000}"/>
    <cellStyle name="Currency 3 4 3" xfId="1412" xr:uid="{00000000-0005-0000-0000-0000DD060000}"/>
    <cellStyle name="Currency 3 5" xfId="590" xr:uid="{00000000-0005-0000-0000-0000DE060000}"/>
    <cellStyle name="Currency 3 5 2" xfId="1582" xr:uid="{00000000-0005-0000-0000-0000DF060000}"/>
    <cellStyle name="Currency 3 6" xfId="1086" xr:uid="{00000000-0005-0000-0000-0000E0060000}"/>
    <cellStyle name="Currency 4" xfId="109" xr:uid="{00000000-0005-0000-0000-0000E1060000}"/>
    <cellStyle name="Currency 4 2" xfId="187" xr:uid="{00000000-0005-0000-0000-0000E2060000}"/>
    <cellStyle name="Currency 4 2 2" xfId="343" xr:uid="{00000000-0005-0000-0000-0000E3060000}"/>
    <cellStyle name="Currency 4 2 2 2" xfId="841" xr:uid="{00000000-0005-0000-0000-0000E4060000}"/>
    <cellStyle name="Currency 4 2 2 2 2" xfId="1833" xr:uid="{00000000-0005-0000-0000-0000E5060000}"/>
    <cellStyle name="Currency 4 2 2 3" xfId="1337" xr:uid="{00000000-0005-0000-0000-0000E6060000}"/>
    <cellStyle name="Currency 4 2 3" xfId="515" xr:uid="{00000000-0005-0000-0000-0000E7060000}"/>
    <cellStyle name="Currency 4 2 3 2" xfId="1011" xr:uid="{00000000-0005-0000-0000-0000E8060000}"/>
    <cellStyle name="Currency 4 2 3 2 2" xfId="2003" xr:uid="{00000000-0005-0000-0000-0000E9060000}"/>
    <cellStyle name="Currency 4 2 3 3" xfId="1507" xr:uid="{00000000-0005-0000-0000-0000EA060000}"/>
    <cellStyle name="Currency 4 2 4" xfId="685" xr:uid="{00000000-0005-0000-0000-0000EB060000}"/>
    <cellStyle name="Currency 4 2 4 2" xfId="1677" xr:uid="{00000000-0005-0000-0000-0000EC060000}"/>
    <cellStyle name="Currency 4 2 5" xfId="1181" xr:uid="{00000000-0005-0000-0000-0000ED060000}"/>
    <cellStyle name="Currency 4 3" xfId="265" xr:uid="{00000000-0005-0000-0000-0000EE060000}"/>
    <cellStyle name="Currency 4 3 2" xfId="763" xr:uid="{00000000-0005-0000-0000-0000EF060000}"/>
    <cellStyle name="Currency 4 3 2 2" xfId="1755" xr:uid="{00000000-0005-0000-0000-0000F0060000}"/>
    <cellStyle name="Currency 4 3 3" xfId="1259" xr:uid="{00000000-0005-0000-0000-0000F1060000}"/>
    <cellStyle name="Currency 4 4" xfId="437" xr:uid="{00000000-0005-0000-0000-0000F2060000}"/>
    <cellStyle name="Currency 4 4 2" xfId="933" xr:uid="{00000000-0005-0000-0000-0000F3060000}"/>
    <cellStyle name="Currency 4 4 2 2" xfId="1925" xr:uid="{00000000-0005-0000-0000-0000F4060000}"/>
    <cellStyle name="Currency 4 4 3" xfId="1429" xr:uid="{00000000-0005-0000-0000-0000F5060000}"/>
    <cellStyle name="Currency 4 5" xfId="607" xr:uid="{00000000-0005-0000-0000-0000F6060000}"/>
    <cellStyle name="Currency 4 5 2" xfId="1599" xr:uid="{00000000-0005-0000-0000-0000F7060000}"/>
    <cellStyle name="Currency 4 6" xfId="1103" xr:uid="{00000000-0005-0000-0000-0000F8060000}"/>
    <cellStyle name="Currency 5" xfId="2020" xr:uid="{00000000-0005-0000-0000-0000F9060000}"/>
    <cellStyle name="Currency 6" xfId="2123" xr:uid="{00000000-0005-0000-0000-0000FA060000}"/>
    <cellStyle name="Explanatory Text" xfId="16" builtinId="53" customBuiltin="1"/>
    <cellStyle name="Followed Hyperlink" xfId="359" builtinId="9" customBuiltin="1"/>
    <cellStyle name="Followed Hyperlink 2" xfId="58" xr:uid="{00000000-0005-0000-0000-0000FD060000}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2126" builtinId="8" customBuiltin="1"/>
    <cellStyle name="Hyperlink 2" xfId="57" xr:uid="{00000000-0005-0000-0000-000004070000}"/>
    <cellStyle name="Hyperlink 2 2" xfId="74" xr:uid="{00000000-0005-0000-0000-00000507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2022" xr:uid="{00000000-0005-0000-0000-00000A070000}"/>
    <cellStyle name="Normal 11" xfId="2038" xr:uid="{00000000-0005-0000-0000-00000B070000}"/>
    <cellStyle name="Normal 12" xfId="2052" xr:uid="{00000000-0005-0000-0000-00000C070000}"/>
    <cellStyle name="Normal 13" xfId="2066" xr:uid="{00000000-0005-0000-0000-00000D070000}"/>
    <cellStyle name="Normal 14" xfId="2080" xr:uid="{00000000-0005-0000-0000-00000E070000}"/>
    <cellStyle name="Normal 15" xfId="2094" xr:uid="{00000000-0005-0000-0000-00000F070000}"/>
    <cellStyle name="Normal 16" xfId="2108" xr:uid="{00000000-0005-0000-0000-000010070000}"/>
    <cellStyle name="Normal 17" xfId="42" xr:uid="{00000000-0005-0000-0000-000011070000}"/>
    <cellStyle name="Normal 18" xfId="2128" xr:uid="{00000000-0005-0000-0000-000012070000}"/>
    <cellStyle name="Normal 19" xfId="2132" xr:uid="{00000000-0005-0000-0000-000013070000}"/>
    <cellStyle name="Normal 2" xfId="43" xr:uid="{00000000-0005-0000-0000-000014070000}"/>
    <cellStyle name="Normal 2 2" xfId="124" xr:uid="{00000000-0005-0000-0000-000015070000}"/>
    <cellStyle name="Normal 2 2 2" xfId="280" xr:uid="{00000000-0005-0000-0000-000016070000}"/>
    <cellStyle name="Normal 2 2 2 2" xfId="778" xr:uid="{00000000-0005-0000-0000-000017070000}"/>
    <cellStyle name="Normal 2 2 2 2 2" xfId="1770" xr:uid="{00000000-0005-0000-0000-000018070000}"/>
    <cellStyle name="Normal 2 2 2 3" xfId="1274" xr:uid="{00000000-0005-0000-0000-000019070000}"/>
    <cellStyle name="Normal 2 2 3" xfId="452" xr:uid="{00000000-0005-0000-0000-00001A070000}"/>
    <cellStyle name="Normal 2 2 3 2" xfId="948" xr:uid="{00000000-0005-0000-0000-00001B070000}"/>
    <cellStyle name="Normal 2 2 3 2 2" xfId="1940" xr:uid="{00000000-0005-0000-0000-00001C070000}"/>
    <cellStyle name="Normal 2 2 3 3" xfId="1444" xr:uid="{00000000-0005-0000-0000-00001D070000}"/>
    <cellStyle name="Normal 2 2 4" xfId="622" xr:uid="{00000000-0005-0000-0000-00001E070000}"/>
    <cellStyle name="Normal 2 2 4 2" xfId="1614" xr:uid="{00000000-0005-0000-0000-00001F070000}"/>
    <cellStyle name="Normal 2 2 5" xfId="1118" xr:uid="{00000000-0005-0000-0000-000020070000}"/>
    <cellStyle name="Normal 2 3" xfId="202" xr:uid="{00000000-0005-0000-0000-000021070000}"/>
    <cellStyle name="Normal 2 3 2" xfId="700" xr:uid="{00000000-0005-0000-0000-000022070000}"/>
    <cellStyle name="Normal 2 3 2 2" xfId="1692" xr:uid="{00000000-0005-0000-0000-000023070000}"/>
    <cellStyle name="Normal 2 3 3" xfId="1196" xr:uid="{00000000-0005-0000-0000-000024070000}"/>
    <cellStyle name="Normal 2 3 4" xfId="2036" xr:uid="{00000000-0005-0000-0000-000025070000}"/>
    <cellStyle name="Normal 2 4" xfId="374" xr:uid="{00000000-0005-0000-0000-000026070000}"/>
    <cellStyle name="Normal 2 4 2" xfId="870" xr:uid="{00000000-0005-0000-0000-000027070000}"/>
    <cellStyle name="Normal 2 4 2 2" xfId="1862" xr:uid="{00000000-0005-0000-0000-000028070000}"/>
    <cellStyle name="Normal 2 4 3" xfId="1366" xr:uid="{00000000-0005-0000-0000-000029070000}"/>
    <cellStyle name="Normal 2 5" xfId="544" xr:uid="{00000000-0005-0000-0000-00002A070000}"/>
    <cellStyle name="Normal 2 5 2" xfId="1536" xr:uid="{00000000-0005-0000-0000-00002B070000}"/>
    <cellStyle name="Normal 2 6" xfId="1040" xr:uid="{00000000-0005-0000-0000-00002C070000}"/>
    <cellStyle name="Normal 2 7" xfId="2125" xr:uid="{00000000-0005-0000-0000-00002D070000}"/>
    <cellStyle name="Normal 2 8" xfId="2129" xr:uid="{00000000-0005-0000-0000-00002E070000}"/>
    <cellStyle name="Normal 20" xfId="2133" xr:uid="{912AE2A2-4D68-4C70-8818-F8DBD7584305}"/>
    <cellStyle name="Normal 3" xfId="59" xr:uid="{00000000-0005-0000-0000-00002F070000}"/>
    <cellStyle name="Normal 3 2" xfId="138" xr:uid="{00000000-0005-0000-0000-000030070000}"/>
    <cellStyle name="Normal 3 2 2" xfId="294" xr:uid="{00000000-0005-0000-0000-000031070000}"/>
    <cellStyle name="Normal 3 2 2 2" xfId="792" xr:uid="{00000000-0005-0000-0000-000032070000}"/>
    <cellStyle name="Normal 3 2 2 2 2" xfId="1784" xr:uid="{00000000-0005-0000-0000-000033070000}"/>
    <cellStyle name="Normal 3 2 2 3" xfId="1288" xr:uid="{00000000-0005-0000-0000-000034070000}"/>
    <cellStyle name="Normal 3 2 3" xfId="466" xr:uid="{00000000-0005-0000-0000-000035070000}"/>
    <cellStyle name="Normal 3 2 3 2" xfId="962" xr:uid="{00000000-0005-0000-0000-000036070000}"/>
    <cellStyle name="Normal 3 2 3 2 2" xfId="1954" xr:uid="{00000000-0005-0000-0000-000037070000}"/>
    <cellStyle name="Normal 3 2 3 3" xfId="1458" xr:uid="{00000000-0005-0000-0000-000038070000}"/>
    <cellStyle name="Normal 3 2 4" xfId="636" xr:uid="{00000000-0005-0000-0000-000039070000}"/>
    <cellStyle name="Normal 3 2 4 2" xfId="1628" xr:uid="{00000000-0005-0000-0000-00003A070000}"/>
    <cellStyle name="Normal 3 2 5" xfId="1132" xr:uid="{00000000-0005-0000-0000-00003B070000}"/>
    <cellStyle name="Normal 3 3" xfId="216" xr:uid="{00000000-0005-0000-0000-00003C070000}"/>
    <cellStyle name="Normal 3 3 2" xfId="714" xr:uid="{00000000-0005-0000-0000-00003D070000}"/>
    <cellStyle name="Normal 3 3 2 2" xfId="1706" xr:uid="{00000000-0005-0000-0000-00003E070000}"/>
    <cellStyle name="Normal 3 3 3" xfId="1210" xr:uid="{00000000-0005-0000-0000-00003F070000}"/>
    <cellStyle name="Normal 3 4" xfId="388" xr:uid="{00000000-0005-0000-0000-000040070000}"/>
    <cellStyle name="Normal 3 4 2" xfId="884" xr:uid="{00000000-0005-0000-0000-000041070000}"/>
    <cellStyle name="Normal 3 4 2 2" xfId="1876" xr:uid="{00000000-0005-0000-0000-000042070000}"/>
    <cellStyle name="Normal 3 4 3" xfId="1380" xr:uid="{00000000-0005-0000-0000-000043070000}"/>
    <cellStyle name="Normal 3 5" xfId="558" xr:uid="{00000000-0005-0000-0000-000044070000}"/>
    <cellStyle name="Normal 3 5 2" xfId="1550" xr:uid="{00000000-0005-0000-0000-000045070000}"/>
    <cellStyle name="Normal 3 6" xfId="1054" xr:uid="{00000000-0005-0000-0000-000046070000}"/>
    <cellStyle name="Normal 4" xfId="77" xr:uid="{00000000-0005-0000-0000-000047070000}"/>
    <cellStyle name="Normal 4 2" xfId="155" xr:uid="{00000000-0005-0000-0000-000048070000}"/>
    <cellStyle name="Normal 4 2 2" xfId="311" xr:uid="{00000000-0005-0000-0000-000049070000}"/>
    <cellStyle name="Normal 4 2 2 2" xfId="809" xr:uid="{00000000-0005-0000-0000-00004A070000}"/>
    <cellStyle name="Normal 4 2 2 2 2" xfId="1801" xr:uid="{00000000-0005-0000-0000-00004B070000}"/>
    <cellStyle name="Normal 4 2 2 3" xfId="1305" xr:uid="{00000000-0005-0000-0000-00004C070000}"/>
    <cellStyle name="Normal 4 2 2 4" xfId="2037" xr:uid="{00000000-0005-0000-0000-00004D070000}"/>
    <cellStyle name="Normal 4 2 3" xfId="483" xr:uid="{00000000-0005-0000-0000-00004E070000}"/>
    <cellStyle name="Normal 4 2 3 2" xfId="979" xr:uid="{00000000-0005-0000-0000-00004F070000}"/>
    <cellStyle name="Normal 4 2 3 2 2" xfId="1971" xr:uid="{00000000-0005-0000-0000-000050070000}"/>
    <cellStyle name="Normal 4 2 3 3" xfId="1475" xr:uid="{00000000-0005-0000-0000-000051070000}"/>
    <cellStyle name="Normal 4 2 4" xfId="653" xr:uid="{00000000-0005-0000-0000-000052070000}"/>
    <cellStyle name="Normal 4 2 4 2" xfId="1645" xr:uid="{00000000-0005-0000-0000-000053070000}"/>
    <cellStyle name="Normal 4 2 5" xfId="1149" xr:uid="{00000000-0005-0000-0000-000054070000}"/>
    <cellStyle name="Normal 4 3" xfId="233" xr:uid="{00000000-0005-0000-0000-000055070000}"/>
    <cellStyle name="Normal 4 3 2" xfId="731" xr:uid="{00000000-0005-0000-0000-000056070000}"/>
    <cellStyle name="Normal 4 3 2 2" xfId="1723" xr:uid="{00000000-0005-0000-0000-000057070000}"/>
    <cellStyle name="Normal 4 3 3" xfId="1227" xr:uid="{00000000-0005-0000-0000-000058070000}"/>
    <cellStyle name="Normal 4 4" xfId="405" xr:uid="{00000000-0005-0000-0000-000059070000}"/>
    <cellStyle name="Normal 4 4 2" xfId="901" xr:uid="{00000000-0005-0000-0000-00005A070000}"/>
    <cellStyle name="Normal 4 4 2 2" xfId="1893" xr:uid="{00000000-0005-0000-0000-00005B070000}"/>
    <cellStyle name="Normal 4 4 3" xfId="1397" xr:uid="{00000000-0005-0000-0000-00005C070000}"/>
    <cellStyle name="Normal 4 5" xfId="575" xr:uid="{00000000-0005-0000-0000-00005D070000}"/>
    <cellStyle name="Normal 4 5 2" xfId="1567" xr:uid="{00000000-0005-0000-0000-00005E070000}"/>
    <cellStyle name="Normal 4 6" xfId="1071" xr:uid="{00000000-0005-0000-0000-00005F070000}"/>
    <cellStyle name="Normal 5" xfId="94" xr:uid="{00000000-0005-0000-0000-000060070000}"/>
    <cellStyle name="Normal 5 2" xfId="172" xr:uid="{00000000-0005-0000-0000-000061070000}"/>
    <cellStyle name="Normal 5 2 2" xfId="328" xr:uid="{00000000-0005-0000-0000-000062070000}"/>
    <cellStyle name="Normal 5 2 2 2" xfId="826" xr:uid="{00000000-0005-0000-0000-000063070000}"/>
    <cellStyle name="Normal 5 2 2 2 2" xfId="1818" xr:uid="{00000000-0005-0000-0000-000064070000}"/>
    <cellStyle name="Normal 5 2 2 3" xfId="1322" xr:uid="{00000000-0005-0000-0000-000065070000}"/>
    <cellStyle name="Normal 5 2 3" xfId="500" xr:uid="{00000000-0005-0000-0000-000066070000}"/>
    <cellStyle name="Normal 5 2 3 2" xfId="996" xr:uid="{00000000-0005-0000-0000-000067070000}"/>
    <cellStyle name="Normal 5 2 3 2 2" xfId="1988" xr:uid="{00000000-0005-0000-0000-000068070000}"/>
    <cellStyle name="Normal 5 2 3 3" xfId="1492" xr:uid="{00000000-0005-0000-0000-000069070000}"/>
    <cellStyle name="Normal 5 2 4" xfId="670" xr:uid="{00000000-0005-0000-0000-00006A070000}"/>
    <cellStyle name="Normal 5 2 4 2" xfId="1662" xr:uid="{00000000-0005-0000-0000-00006B070000}"/>
    <cellStyle name="Normal 5 2 5" xfId="1166" xr:uid="{00000000-0005-0000-0000-00006C070000}"/>
    <cellStyle name="Normal 5 3" xfId="250" xr:uid="{00000000-0005-0000-0000-00006D070000}"/>
    <cellStyle name="Normal 5 3 2" xfId="748" xr:uid="{00000000-0005-0000-0000-00006E070000}"/>
    <cellStyle name="Normal 5 3 2 2" xfId="1740" xr:uid="{00000000-0005-0000-0000-00006F070000}"/>
    <cellStyle name="Normal 5 3 3" xfId="1244" xr:uid="{00000000-0005-0000-0000-000070070000}"/>
    <cellStyle name="Normal 5 4" xfId="422" xr:uid="{00000000-0005-0000-0000-000071070000}"/>
    <cellStyle name="Normal 5 4 2" xfId="918" xr:uid="{00000000-0005-0000-0000-000072070000}"/>
    <cellStyle name="Normal 5 4 2 2" xfId="1910" xr:uid="{00000000-0005-0000-0000-000073070000}"/>
    <cellStyle name="Normal 5 4 3" xfId="1414" xr:uid="{00000000-0005-0000-0000-000074070000}"/>
    <cellStyle name="Normal 5 5" xfId="592" xr:uid="{00000000-0005-0000-0000-000075070000}"/>
    <cellStyle name="Normal 5 5 2" xfId="1584" xr:uid="{00000000-0005-0000-0000-000076070000}"/>
    <cellStyle name="Normal 5 6" xfId="1088" xr:uid="{00000000-0005-0000-0000-000077070000}"/>
    <cellStyle name="Normal 6" xfId="345" xr:uid="{00000000-0005-0000-0000-000078070000}"/>
    <cellStyle name="Normal 6 2" xfId="843" xr:uid="{00000000-0005-0000-0000-000079070000}"/>
    <cellStyle name="Normal 6 2 2" xfId="1835" xr:uid="{00000000-0005-0000-0000-00007A070000}"/>
    <cellStyle name="Normal 6 3" xfId="1339" xr:uid="{00000000-0005-0000-0000-00007B070000}"/>
    <cellStyle name="Normal 7" xfId="517" xr:uid="{00000000-0005-0000-0000-00007C070000}"/>
    <cellStyle name="Normal 7 2" xfId="1509" xr:uid="{00000000-0005-0000-0000-00007D070000}"/>
    <cellStyle name="Normal 8" xfId="1013" xr:uid="{00000000-0005-0000-0000-00007E070000}"/>
    <cellStyle name="Normal 9" xfId="2005" xr:uid="{00000000-0005-0000-0000-00007F070000}"/>
    <cellStyle name="Note" xfId="15" builtinId="10" customBuiltin="1"/>
    <cellStyle name="Note 10" xfId="518" xr:uid="{00000000-0005-0000-0000-000081070000}"/>
    <cellStyle name="Note 10 2" xfId="1510" xr:uid="{00000000-0005-0000-0000-000082070000}"/>
    <cellStyle name="Note 11" xfId="531" xr:uid="{00000000-0005-0000-0000-000083070000}"/>
    <cellStyle name="Note 11 2" xfId="1523" xr:uid="{00000000-0005-0000-0000-000084070000}"/>
    <cellStyle name="Note 12" xfId="1014" xr:uid="{00000000-0005-0000-0000-000085070000}"/>
    <cellStyle name="Note 13" xfId="1027" xr:uid="{00000000-0005-0000-0000-000086070000}"/>
    <cellStyle name="Note 14" xfId="2007" xr:uid="{00000000-0005-0000-0000-000087070000}"/>
    <cellStyle name="Note 15" xfId="2023" xr:uid="{00000000-0005-0000-0000-000088070000}"/>
    <cellStyle name="Note 16" xfId="2039" xr:uid="{00000000-0005-0000-0000-000089070000}"/>
    <cellStyle name="Note 17" xfId="2053" xr:uid="{00000000-0005-0000-0000-00008A070000}"/>
    <cellStyle name="Note 18" xfId="2067" xr:uid="{00000000-0005-0000-0000-00008B070000}"/>
    <cellStyle name="Note 19" xfId="2081" xr:uid="{00000000-0005-0000-0000-00008C070000}"/>
    <cellStyle name="Note 2" xfId="44" xr:uid="{00000000-0005-0000-0000-00008D070000}"/>
    <cellStyle name="Note 2 2" xfId="125" xr:uid="{00000000-0005-0000-0000-00008E070000}"/>
    <cellStyle name="Note 2 2 2" xfId="281" xr:uid="{00000000-0005-0000-0000-00008F070000}"/>
    <cellStyle name="Note 2 2 2 2" xfId="779" xr:uid="{00000000-0005-0000-0000-000090070000}"/>
    <cellStyle name="Note 2 2 2 2 2" xfId="1771" xr:uid="{00000000-0005-0000-0000-000091070000}"/>
    <cellStyle name="Note 2 2 2 3" xfId="1275" xr:uid="{00000000-0005-0000-0000-000092070000}"/>
    <cellStyle name="Note 2 2 3" xfId="453" xr:uid="{00000000-0005-0000-0000-000093070000}"/>
    <cellStyle name="Note 2 2 3 2" xfId="949" xr:uid="{00000000-0005-0000-0000-000094070000}"/>
    <cellStyle name="Note 2 2 3 2 2" xfId="1941" xr:uid="{00000000-0005-0000-0000-000095070000}"/>
    <cellStyle name="Note 2 2 3 3" xfId="1445" xr:uid="{00000000-0005-0000-0000-000096070000}"/>
    <cellStyle name="Note 2 2 4" xfId="623" xr:uid="{00000000-0005-0000-0000-000097070000}"/>
    <cellStyle name="Note 2 2 4 2" xfId="1615" xr:uid="{00000000-0005-0000-0000-000098070000}"/>
    <cellStyle name="Note 2 2 5" xfId="1119" xr:uid="{00000000-0005-0000-0000-000099070000}"/>
    <cellStyle name="Note 2 3" xfId="203" xr:uid="{00000000-0005-0000-0000-00009A070000}"/>
    <cellStyle name="Note 2 3 2" xfId="701" xr:uid="{00000000-0005-0000-0000-00009B070000}"/>
    <cellStyle name="Note 2 3 2 2" xfId="1693" xr:uid="{00000000-0005-0000-0000-00009C070000}"/>
    <cellStyle name="Note 2 3 3" xfId="1197" xr:uid="{00000000-0005-0000-0000-00009D070000}"/>
    <cellStyle name="Note 2 4" xfId="375" xr:uid="{00000000-0005-0000-0000-00009E070000}"/>
    <cellStyle name="Note 2 4 2" xfId="871" xr:uid="{00000000-0005-0000-0000-00009F070000}"/>
    <cellStyle name="Note 2 4 2 2" xfId="1863" xr:uid="{00000000-0005-0000-0000-0000A0070000}"/>
    <cellStyle name="Note 2 4 3" xfId="1367" xr:uid="{00000000-0005-0000-0000-0000A1070000}"/>
    <cellStyle name="Note 2 5" xfId="545" xr:uid="{00000000-0005-0000-0000-0000A2070000}"/>
    <cellStyle name="Note 2 5 2" xfId="1537" xr:uid="{00000000-0005-0000-0000-0000A3070000}"/>
    <cellStyle name="Note 2 6" xfId="1041" xr:uid="{00000000-0005-0000-0000-0000A4070000}"/>
    <cellStyle name="Note 20" xfId="2095" xr:uid="{00000000-0005-0000-0000-0000A5070000}"/>
    <cellStyle name="Note 21" xfId="2110" xr:uid="{00000000-0005-0000-0000-0000A6070000}"/>
    <cellStyle name="Note 3" xfId="61" xr:uid="{00000000-0005-0000-0000-0000A7070000}"/>
    <cellStyle name="Note 3 2" xfId="140" xr:uid="{00000000-0005-0000-0000-0000A8070000}"/>
    <cellStyle name="Note 3 2 2" xfId="296" xr:uid="{00000000-0005-0000-0000-0000A9070000}"/>
    <cellStyle name="Note 3 2 2 2" xfId="794" xr:uid="{00000000-0005-0000-0000-0000AA070000}"/>
    <cellStyle name="Note 3 2 2 2 2" xfId="1786" xr:uid="{00000000-0005-0000-0000-0000AB070000}"/>
    <cellStyle name="Note 3 2 2 3" xfId="1290" xr:uid="{00000000-0005-0000-0000-0000AC070000}"/>
    <cellStyle name="Note 3 2 3" xfId="468" xr:uid="{00000000-0005-0000-0000-0000AD070000}"/>
    <cellStyle name="Note 3 2 3 2" xfId="964" xr:uid="{00000000-0005-0000-0000-0000AE070000}"/>
    <cellStyle name="Note 3 2 3 2 2" xfId="1956" xr:uid="{00000000-0005-0000-0000-0000AF070000}"/>
    <cellStyle name="Note 3 2 3 3" xfId="1460" xr:uid="{00000000-0005-0000-0000-0000B0070000}"/>
    <cellStyle name="Note 3 2 4" xfId="638" xr:uid="{00000000-0005-0000-0000-0000B1070000}"/>
    <cellStyle name="Note 3 2 4 2" xfId="1630" xr:uid="{00000000-0005-0000-0000-0000B2070000}"/>
    <cellStyle name="Note 3 2 5" xfId="1134" xr:uid="{00000000-0005-0000-0000-0000B3070000}"/>
    <cellStyle name="Note 3 3" xfId="218" xr:uid="{00000000-0005-0000-0000-0000B4070000}"/>
    <cellStyle name="Note 3 3 2" xfId="716" xr:uid="{00000000-0005-0000-0000-0000B5070000}"/>
    <cellStyle name="Note 3 3 2 2" xfId="1708" xr:uid="{00000000-0005-0000-0000-0000B6070000}"/>
    <cellStyle name="Note 3 3 3" xfId="1212" xr:uid="{00000000-0005-0000-0000-0000B7070000}"/>
    <cellStyle name="Note 3 4" xfId="390" xr:uid="{00000000-0005-0000-0000-0000B8070000}"/>
    <cellStyle name="Note 3 4 2" xfId="886" xr:uid="{00000000-0005-0000-0000-0000B9070000}"/>
    <cellStyle name="Note 3 4 2 2" xfId="1878" xr:uid="{00000000-0005-0000-0000-0000BA070000}"/>
    <cellStyle name="Note 3 4 3" xfId="1382" xr:uid="{00000000-0005-0000-0000-0000BB070000}"/>
    <cellStyle name="Note 3 5" xfId="560" xr:uid="{00000000-0005-0000-0000-0000BC070000}"/>
    <cellStyle name="Note 3 5 2" xfId="1552" xr:uid="{00000000-0005-0000-0000-0000BD070000}"/>
    <cellStyle name="Note 3 6" xfId="1056" xr:uid="{00000000-0005-0000-0000-0000BE070000}"/>
    <cellStyle name="Note 4" xfId="79" xr:uid="{00000000-0005-0000-0000-0000BF070000}"/>
    <cellStyle name="Note 4 2" xfId="157" xr:uid="{00000000-0005-0000-0000-0000C0070000}"/>
    <cellStyle name="Note 4 2 2" xfId="313" xr:uid="{00000000-0005-0000-0000-0000C1070000}"/>
    <cellStyle name="Note 4 2 2 2" xfId="811" xr:uid="{00000000-0005-0000-0000-0000C2070000}"/>
    <cellStyle name="Note 4 2 2 2 2" xfId="1803" xr:uid="{00000000-0005-0000-0000-0000C3070000}"/>
    <cellStyle name="Note 4 2 2 3" xfId="1307" xr:uid="{00000000-0005-0000-0000-0000C4070000}"/>
    <cellStyle name="Note 4 2 3" xfId="485" xr:uid="{00000000-0005-0000-0000-0000C5070000}"/>
    <cellStyle name="Note 4 2 3 2" xfId="981" xr:uid="{00000000-0005-0000-0000-0000C6070000}"/>
    <cellStyle name="Note 4 2 3 2 2" xfId="1973" xr:uid="{00000000-0005-0000-0000-0000C7070000}"/>
    <cellStyle name="Note 4 2 3 3" xfId="1477" xr:uid="{00000000-0005-0000-0000-0000C8070000}"/>
    <cellStyle name="Note 4 2 4" xfId="655" xr:uid="{00000000-0005-0000-0000-0000C9070000}"/>
    <cellStyle name="Note 4 2 4 2" xfId="1647" xr:uid="{00000000-0005-0000-0000-0000CA070000}"/>
    <cellStyle name="Note 4 2 5" xfId="1151" xr:uid="{00000000-0005-0000-0000-0000CB070000}"/>
    <cellStyle name="Note 4 3" xfId="235" xr:uid="{00000000-0005-0000-0000-0000CC070000}"/>
    <cellStyle name="Note 4 3 2" xfId="733" xr:uid="{00000000-0005-0000-0000-0000CD070000}"/>
    <cellStyle name="Note 4 3 2 2" xfId="1725" xr:uid="{00000000-0005-0000-0000-0000CE070000}"/>
    <cellStyle name="Note 4 3 3" xfId="1229" xr:uid="{00000000-0005-0000-0000-0000CF070000}"/>
    <cellStyle name="Note 4 4" xfId="407" xr:uid="{00000000-0005-0000-0000-0000D0070000}"/>
    <cellStyle name="Note 4 4 2" xfId="903" xr:uid="{00000000-0005-0000-0000-0000D1070000}"/>
    <cellStyle name="Note 4 4 2 2" xfId="1895" xr:uid="{00000000-0005-0000-0000-0000D2070000}"/>
    <cellStyle name="Note 4 4 3" xfId="1399" xr:uid="{00000000-0005-0000-0000-0000D3070000}"/>
    <cellStyle name="Note 4 5" xfId="577" xr:uid="{00000000-0005-0000-0000-0000D4070000}"/>
    <cellStyle name="Note 4 5 2" xfId="1569" xr:uid="{00000000-0005-0000-0000-0000D5070000}"/>
    <cellStyle name="Note 4 6" xfId="1073" xr:uid="{00000000-0005-0000-0000-0000D6070000}"/>
    <cellStyle name="Note 5" xfId="96" xr:uid="{00000000-0005-0000-0000-0000D7070000}"/>
    <cellStyle name="Note 5 2" xfId="174" xr:uid="{00000000-0005-0000-0000-0000D8070000}"/>
    <cellStyle name="Note 5 2 2" xfId="330" xr:uid="{00000000-0005-0000-0000-0000D9070000}"/>
    <cellStyle name="Note 5 2 2 2" xfId="828" xr:uid="{00000000-0005-0000-0000-0000DA070000}"/>
    <cellStyle name="Note 5 2 2 2 2" xfId="1820" xr:uid="{00000000-0005-0000-0000-0000DB070000}"/>
    <cellStyle name="Note 5 2 2 3" xfId="1324" xr:uid="{00000000-0005-0000-0000-0000DC070000}"/>
    <cellStyle name="Note 5 2 3" xfId="502" xr:uid="{00000000-0005-0000-0000-0000DD070000}"/>
    <cellStyle name="Note 5 2 3 2" xfId="998" xr:uid="{00000000-0005-0000-0000-0000DE070000}"/>
    <cellStyle name="Note 5 2 3 2 2" xfId="1990" xr:uid="{00000000-0005-0000-0000-0000DF070000}"/>
    <cellStyle name="Note 5 2 3 3" xfId="1494" xr:uid="{00000000-0005-0000-0000-0000E0070000}"/>
    <cellStyle name="Note 5 2 4" xfId="672" xr:uid="{00000000-0005-0000-0000-0000E1070000}"/>
    <cellStyle name="Note 5 2 4 2" xfId="1664" xr:uid="{00000000-0005-0000-0000-0000E2070000}"/>
    <cellStyle name="Note 5 2 5" xfId="1168" xr:uid="{00000000-0005-0000-0000-0000E3070000}"/>
    <cellStyle name="Note 5 3" xfId="252" xr:uid="{00000000-0005-0000-0000-0000E4070000}"/>
    <cellStyle name="Note 5 3 2" xfId="750" xr:uid="{00000000-0005-0000-0000-0000E5070000}"/>
    <cellStyle name="Note 5 3 2 2" xfId="1742" xr:uid="{00000000-0005-0000-0000-0000E6070000}"/>
    <cellStyle name="Note 5 3 3" xfId="1246" xr:uid="{00000000-0005-0000-0000-0000E7070000}"/>
    <cellStyle name="Note 5 4" xfId="424" xr:uid="{00000000-0005-0000-0000-0000E8070000}"/>
    <cellStyle name="Note 5 4 2" xfId="920" xr:uid="{00000000-0005-0000-0000-0000E9070000}"/>
    <cellStyle name="Note 5 4 2 2" xfId="1912" xr:uid="{00000000-0005-0000-0000-0000EA070000}"/>
    <cellStyle name="Note 5 4 3" xfId="1416" xr:uid="{00000000-0005-0000-0000-0000EB070000}"/>
    <cellStyle name="Note 5 5" xfId="594" xr:uid="{00000000-0005-0000-0000-0000EC070000}"/>
    <cellStyle name="Note 5 5 2" xfId="1586" xr:uid="{00000000-0005-0000-0000-0000ED070000}"/>
    <cellStyle name="Note 5 6" xfId="1090" xr:uid="{00000000-0005-0000-0000-0000EE070000}"/>
    <cellStyle name="Note 6" xfId="111" xr:uid="{00000000-0005-0000-0000-0000EF070000}"/>
    <cellStyle name="Note 6 2" xfId="267" xr:uid="{00000000-0005-0000-0000-0000F0070000}"/>
    <cellStyle name="Note 6 2 2" xfId="765" xr:uid="{00000000-0005-0000-0000-0000F1070000}"/>
    <cellStyle name="Note 6 2 2 2" xfId="1757" xr:uid="{00000000-0005-0000-0000-0000F2070000}"/>
    <cellStyle name="Note 6 2 3" xfId="1261" xr:uid="{00000000-0005-0000-0000-0000F3070000}"/>
    <cellStyle name="Note 6 3" xfId="439" xr:uid="{00000000-0005-0000-0000-0000F4070000}"/>
    <cellStyle name="Note 6 3 2" xfId="935" xr:uid="{00000000-0005-0000-0000-0000F5070000}"/>
    <cellStyle name="Note 6 3 2 2" xfId="1927" xr:uid="{00000000-0005-0000-0000-0000F6070000}"/>
    <cellStyle name="Note 6 3 3" xfId="1431" xr:uid="{00000000-0005-0000-0000-0000F7070000}"/>
    <cellStyle name="Note 6 4" xfId="609" xr:uid="{00000000-0005-0000-0000-0000F8070000}"/>
    <cellStyle name="Note 6 4 2" xfId="1601" xr:uid="{00000000-0005-0000-0000-0000F9070000}"/>
    <cellStyle name="Note 6 5" xfId="1105" xr:uid="{00000000-0005-0000-0000-0000FA070000}"/>
    <cellStyle name="Note 7" xfId="346" xr:uid="{00000000-0005-0000-0000-0000FB070000}"/>
    <cellStyle name="Note 7 2" xfId="844" xr:uid="{00000000-0005-0000-0000-0000FC070000}"/>
    <cellStyle name="Note 7 2 2" xfId="1836" xr:uid="{00000000-0005-0000-0000-0000FD070000}"/>
    <cellStyle name="Note 7 3" xfId="1340" xr:uid="{00000000-0005-0000-0000-0000FE070000}"/>
    <cellStyle name="Note 8" xfId="189" xr:uid="{00000000-0005-0000-0000-0000FF070000}"/>
    <cellStyle name="Note 8 2" xfId="687" xr:uid="{00000000-0005-0000-0000-000000080000}"/>
    <cellStyle name="Note 8 2 2" xfId="1679" xr:uid="{00000000-0005-0000-0000-000001080000}"/>
    <cellStyle name="Note 8 3" xfId="1183" xr:uid="{00000000-0005-0000-0000-000002080000}"/>
    <cellStyle name="Note 9" xfId="361" xr:uid="{00000000-0005-0000-0000-000003080000}"/>
    <cellStyle name="Note 9 2" xfId="857" xr:uid="{00000000-0005-0000-0000-000004080000}"/>
    <cellStyle name="Note 9 2 2" xfId="1849" xr:uid="{00000000-0005-0000-0000-000005080000}"/>
    <cellStyle name="Note 9 3" xfId="1353" xr:uid="{00000000-0005-0000-0000-000006080000}"/>
    <cellStyle name="Output" xfId="10" builtinId="21" customBuiltin="1"/>
    <cellStyle name="Percent" xfId="2130" builtinId="5"/>
    <cellStyle name="Percent 2" xfId="76" xr:uid="{00000000-0005-0000-0000-000009080000}"/>
    <cellStyle name="Percent 2 2" xfId="154" xr:uid="{00000000-0005-0000-0000-00000A080000}"/>
    <cellStyle name="Percent 2 2 2" xfId="310" xr:uid="{00000000-0005-0000-0000-00000B080000}"/>
    <cellStyle name="Percent 2 2 2 2" xfId="808" xr:uid="{00000000-0005-0000-0000-00000C080000}"/>
    <cellStyle name="Percent 2 2 2 2 2" xfId="1800" xr:uid="{00000000-0005-0000-0000-00000D080000}"/>
    <cellStyle name="Percent 2 2 2 3" xfId="1304" xr:uid="{00000000-0005-0000-0000-00000E080000}"/>
    <cellStyle name="Percent 2 2 3" xfId="482" xr:uid="{00000000-0005-0000-0000-00000F080000}"/>
    <cellStyle name="Percent 2 2 3 2" xfId="978" xr:uid="{00000000-0005-0000-0000-000010080000}"/>
    <cellStyle name="Percent 2 2 3 2 2" xfId="1970" xr:uid="{00000000-0005-0000-0000-000011080000}"/>
    <cellStyle name="Percent 2 2 3 3" xfId="1474" xr:uid="{00000000-0005-0000-0000-000012080000}"/>
    <cellStyle name="Percent 2 2 4" xfId="652" xr:uid="{00000000-0005-0000-0000-000013080000}"/>
    <cellStyle name="Percent 2 2 4 2" xfId="1644" xr:uid="{00000000-0005-0000-0000-000014080000}"/>
    <cellStyle name="Percent 2 2 5" xfId="1148" xr:uid="{00000000-0005-0000-0000-000015080000}"/>
    <cellStyle name="Percent 2 3" xfId="232" xr:uid="{00000000-0005-0000-0000-000016080000}"/>
    <cellStyle name="Percent 2 3 2" xfId="730" xr:uid="{00000000-0005-0000-0000-000017080000}"/>
    <cellStyle name="Percent 2 3 2 2" xfId="1722" xr:uid="{00000000-0005-0000-0000-000018080000}"/>
    <cellStyle name="Percent 2 3 3" xfId="1226" xr:uid="{00000000-0005-0000-0000-000019080000}"/>
    <cellStyle name="Percent 2 4" xfId="404" xr:uid="{00000000-0005-0000-0000-00001A080000}"/>
    <cellStyle name="Percent 2 4 2" xfId="900" xr:uid="{00000000-0005-0000-0000-00001B080000}"/>
    <cellStyle name="Percent 2 4 2 2" xfId="1892" xr:uid="{00000000-0005-0000-0000-00001C080000}"/>
    <cellStyle name="Percent 2 4 3" xfId="1396" xr:uid="{00000000-0005-0000-0000-00001D080000}"/>
    <cellStyle name="Percent 2 5" xfId="574" xr:uid="{00000000-0005-0000-0000-00001E080000}"/>
    <cellStyle name="Percent 2 5 2" xfId="1566" xr:uid="{00000000-0005-0000-0000-00001F080000}"/>
    <cellStyle name="Percent 2 6" xfId="1070" xr:uid="{00000000-0005-0000-0000-000020080000}"/>
    <cellStyle name="Percent 3" xfId="93" xr:uid="{00000000-0005-0000-0000-000021080000}"/>
    <cellStyle name="Percent 3 2" xfId="171" xr:uid="{00000000-0005-0000-0000-000022080000}"/>
    <cellStyle name="Percent 3 2 2" xfId="327" xr:uid="{00000000-0005-0000-0000-000023080000}"/>
    <cellStyle name="Percent 3 2 2 2" xfId="825" xr:uid="{00000000-0005-0000-0000-000024080000}"/>
    <cellStyle name="Percent 3 2 2 2 2" xfId="1817" xr:uid="{00000000-0005-0000-0000-000025080000}"/>
    <cellStyle name="Percent 3 2 2 3" xfId="1321" xr:uid="{00000000-0005-0000-0000-000026080000}"/>
    <cellStyle name="Percent 3 2 3" xfId="499" xr:uid="{00000000-0005-0000-0000-000027080000}"/>
    <cellStyle name="Percent 3 2 3 2" xfId="995" xr:uid="{00000000-0005-0000-0000-000028080000}"/>
    <cellStyle name="Percent 3 2 3 2 2" xfId="1987" xr:uid="{00000000-0005-0000-0000-000029080000}"/>
    <cellStyle name="Percent 3 2 3 3" xfId="1491" xr:uid="{00000000-0005-0000-0000-00002A080000}"/>
    <cellStyle name="Percent 3 2 4" xfId="669" xr:uid="{00000000-0005-0000-0000-00002B080000}"/>
    <cellStyle name="Percent 3 2 4 2" xfId="1661" xr:uid="{00000000-0005-0000-0000-00002C080000}"/>
    <cellStyle name="Percent 3 2 5" xfId="1165" xr:uid="{00000000-0005-0000-0000-00002D080000}"/>
    <cellStyle name="Percent 3 3" xfId="249" xr:uid="{00000000-0005-0000-0000-00002E080000}"/>
    <cellStyle name="Percent 3 3 2" xfId="747" xr:uid="{00000000-0005-0000-0000-00002F080000}"/>
    <cellStyle name="Percent 3 3 2 2" xfId="1739" xr:uid="{00000000-0005-0000-0000-000030080000}"/>
    <cellStyle name="Percent 3 3 3" xfId="1243" xr:uid="{00000000-0005-0000-0000-000031080000}"/>
    <cellStyle name="Percent 3 4" xfId="421" xr:uid="{00000000-0005-0000-0000-000032080000}"/>
    <cellStyle name="Percent 3 4 2" xfId="917" xr:uid="{00000000-0005-0000-0000-000033080000}"/>
    <cellStyle name="Percent 3 4 2 2" xfId="1909" xr:uid="{00000000-0005-0000-0000-000034080000}"/>
    <cellStyle name="Percent 3 4 3" xfId="1413" xr:uid="{00000000-0005-0000-0000-000035080000}"/>
    <cellStyle name="Percent 3 5" xfId="591" xr:uid="{00000000-0005-0000-0000-000036080000}"/>
    <cellStyle name="Percent 3 5 2" xfId="1583" xr:uid="{00000000-0005-0000-0000-000037080000}"/>
    <cellStyle name="Percent 3 6" xfId="1087" xr:uid="{00000000-0005-0000-0000-000038080000}"/>
    <cellStyle name="Percent 4" xfId="110" xr:uid="{00000000-0005-0000-0000-000039080000}"/>
    <cellStyle name="Percent 4 2" xfId="188" xr:uid="{00000000-0005-0000-0000-00003A080000}"/>
    <cellStyle name="Percent 4 2 2" xfId="344" xr:uid="{00000000-0005-0000-0000-00003B080000}"/>
    <cellStyle name="Percent 4 2 2 2" xfId="842" xr:uid="{00000000-0005-0000-0000-00003C080000}"/>
    <cellStyle name="Percent 4 2 2 2 2" xfId="1834" xr:uid="{00000000-0005-0000-0000-00003D080000}"/>
    <cellStyle name="Percent 4 2 2 3" xfId="1338" xr:uid="{00000000-0005-0000-0000-00003E080000}"/>
    <cellStyle name="Percent 4 2 3" xfId="516" xr:uid="{00000000-0005-0000-0000-00003F080000}"/>
    <cellStyle name="Percent 4 2 3 2" xfId="1012" xr:uid="{00000000-0005-0000-0000-000040080000}"/>
    <cellStyle name="Percent 4 2 3 2 2" xfId="2004" xr:uid="{00000000-0005-0000-0000-000041080000}"/>
    <cellStyle name="Percent 4 2 3 3" xfId="1508" xr:uid="{00000000-0005-0000-0000-000042080000}"/>
    <cellStyle name="Percent 4 2 4" xfId="686" xr:uid="{00000000-0005-0000-0000-000043080000}"/>
    <cellStyle name="Percent 4 2 4 2" xfId="1678" xr:uid="{00000000-0005-0000-0000-000044080000}"/>
    <cellStyle name="Percent 4 2 5" xfId="1182" xr:uid="{00000000-0005-0000-0000-000045080000}"/>
    <cellStyle name="Percent 4 3" xfId="266" xr:uid="{00000000-0005-0000-0000-000046080000}"/>
    <cellStyle name="Percent 4 3 2" xfId="764" xr:uid="{00000000-0005-0000-0000-000047080000}"/>
    <cellStyle name="Percent 4 3 2 2" xfId="1756" xr:uid="{00000000-0005-0000-0000-000048080000}"/>
    <cellStyle name="Percent 4 3 3" xfId="1260" xr:uid="{00000000-0005-0000-0000-000049080000}"/>
    <cellStyle name="Percent 4 4" xfId="438" xr:uid="{00000000-0005-0000-0000-00004A080000}"/>
    <cellStyle name="Percent 4 4 2" xfId="934" xr:uid="{00000000-0005-0000-0000-00004B080000}"/>
    <cellStyle name="Percent 4 4 2 2" xfId="1926" xr:uid="{00000000-0005-0000-0000-00004C080000}"/>
    <cellStyle name="Percent 4 4 3" xfId="1430" xr:uid="{00000000-0005-0000-0000-00004D080000}"/>
    <cellStyle name="Percent 4 5" xfId="608" xr:uid="{00000000-0005-0000-0000-00004E080000}"/>
    <cellStyle name="Percent 4 5 2" xfId="1600" xr:uid="{00000000-0005-0000-0000-00004F080000}"/>
    <cellStyle name="Percent 4 6" xfId="1104" xr:uid="{00000000-0005-0000-0000-000050080000}"/>
    <cellStyle name="Percent 5" xfId="2021" xr:uid="{00000000-0005-0000-0000-000051080000}"/>
    <cellStyle name="Title" xfId="1" builtinId="15" customBuiltin="1"/>
    <cellStyle name="Total" xfId="17" builtinId="25" customBuiltin="1"/>
    <cellStyle name="Warning Text" xfId="14" builtinId="11" customBuiltin="1"/>
  </cellStyles>
  <dxfs count="29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scheme val="none"/>
      </font>
      <numFmt numFmtId="0" formatCode="General"/>
      <alignment horizontal="left" vertical="bottom" textRotation="0" wrapText="0" indent="0" justifyLastLine="0" shrinkToFit="0" readingOrder="0"/>
    </dxf>
    <dxf>
      <numFmt numFmtId="30" formatCode="@"/>
    </dxf>
    <dxf>
      <numFmt numFmtId="19" formatCode="m/d/yyyy"/>
    </dxf>
    <dxf>
      <numFmt numFmtId="34" formatCode="_(&quot;$&quot;* #,##0.00_);_(&quot;$&quot;* \(#,##0.00\);_(&quot;$&quot;* &quot;-&quot;??_);_(@_)"/>
      <fill>
        <patternFill patternType="solid">
          <fgColor indexed="64"/>
          <bgColor rgb="FFFFFFCC"/>
        </patternFill>
      </fill>
    </dxf>
    <dxf>
      <numFmt numFmtId="27" formatCode="m/d/yyyy\ h:mm"/>
    </dxf>
    <dxf>
      <numFmt numFmtId="27" formatCode="m/d/yyyy\ h:mm"/>
    </dxf>
    <dxf>
      <numFmt numFmtId="19" formatCode="m/d/yyyy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rgb="FFFFCC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rgb="FFFFCC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rgb="FFFFCC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0" formatCode="General"/>
      <fill>
        <patternFill patternType="solid">
          <fgColor indexed="64"/>
          <bgColor rgb="FFFFCCFF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0" formatCode="General"/>
      <fill>
        <patternFill patternType="solid">
          <fgColor indexed="64"/>
          <bgColor rgb="FFFFCCFF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0" formatCode="General"/>
      <fill>
        <patternFill patternType="solid">
          <fgColor indexed="64"/>
          <bgColor rgb="FFFFCCFF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0" formatCode="General"/>
      <fill>
        <patternFill patternType="solid">
          <fgColor indexed="64"/>
          <bgColor rgb="FFFFCCFF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0" formatCode="General"/>
      <fill>
        <patternFill patternType="solid">
          <fgColor indexed="64"/>
          <bgColor rgb="FFFFCCFF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0" formatCode="General"/>
      <fill>
        <patternFill patternType="solid">
          <fgColor indexed="64"/>
          <bgColor rgb="FFFFCCFF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0" formatCode="General"/>
      <fill>
        <patternFill patternType="solid">
          <fgColor indexed="64"/>
          <bgColor rgb="FFFFCCFF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19" formatCode="m/d/yyyy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19" formatCode="m/d/yyyy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border outline="0"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numFmt numFmtId="0" formatCode="General"/>
      <fill>
        <patternFill patternType="solid">
          <fgColor indexed="64"/>
          <bgColor rgb="FFFFCCFF"/>
        </patternFill>
      </fill>
      <alignment horizontal="center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0" formatCode="General"/>
      <fill>
        <patternFill patternType="solid">
          <fgColor indexed="64"/>
          <bgColor rgb="FFFFCCFF"/>
        </patternFill>
      </fill>
      <alignment horizontal="center" vertical="top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protection locked="0" hidden="0"/>
    </dxf>
    <dxf>
      <numFmt numFmtId="0" formatCode="General"/>
      <fill>
        <patternFill patternType="solid">
          <fgColor indexed="64"/>
          <bgColor rgb="FFFFCCFF"/>
        </patternFill>
      </fill>
      <alignment horizontal="center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0" formatCode="General"/>
      <fill>
        <patternFill patternType="solid">
          <fgColor indexed="64"/>
          <bgColor rgb="FFFFCCFF"/>
        </patternFill>
      </fill>
      <alignment horizontal="center" vertical="top" textRotation="0" wrapText="0" indent="0" justifyLastLine="0" shrinkToFit="0" readingOrder="0"/>
      <protection locked="0" hidden="0"/>
    </dxf>
    <dxf>
      <numFmt numFmtId="0" formatCode="General"/>
      <fill>
        <patternFill patternType="solid">
          <fgColor indexed="64"/>
          <bgColor rgb="FFFFCCFF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0" formatCode="General"/>
      <fill>
        <patternFill patternType="solid">
          <fgColor indexed="64"/>
          <bgColor rgb="FFFFCCFF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CCFFCC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fill>
        <patternFill patternType="solid">
          <fgColor indexed="64"/>
          <bgColor rgb="FFCCFFCC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CCFFCC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fill>
        <patternFill patternType="solid">
          <fgColor indexed="64"/>
          <bgColor rgb="FFCCFFCC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rgb="FFFFCC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0" formatCode="General"/>
      <fill>
        <patternFill patternType="solid">
          <fgColor indexed="64"/>
          <bgColor rgb="FFFFCC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fill>
        <patternFill patternType="solid">
          <fgColor indexed="64"/>
          <bgColor theme="0" tint="-0.1499984740745262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rgb="FFFFCC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0" formatCode="General"/>
      <fill>
        <patternFill patternType="solid">
          <fgColor indexed="64"/>
          <bgColor rgb="FFFFCC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fill>
        <patternFill patternType="solid">
          <fgColor indexed="64"/>
          <bgColor theme="0" tint="-0.1499984740745262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rgb="FFFFCC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0" formatCode="General"/>
      <fill>
        <patternFill patternType="solid">
          <fgColor indexed="64"/>
          <bgColor rgb="FFFFCC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fill>
        <patternFill patternType="solid">
          <fgColor indexed="64"/>
          <bgColor theme="0" tint="-0.1499984740745262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rgb="FFFFCC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0" formatCode="General"/>
      <fill>
        <patternFill patternType="solid">
          <fgColor indexed="64"/>
          <bgColor rgb="FFFFCC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fill>
        <patternFill patternType="solid">
          <fgColor indexed="64"/>
          <bgColor theme="0" tint="-0.1499984740745262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rgb="FFFFCC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0" formatCode="General"/>
      <fill>
        <patternFill patternType="solid">
          <fgColor indexed="64"/>
          <bgColor rgb="FFFFCC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1499984740745262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rgb="FFFFCC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0" formatCode="General"/>
      <fill>
        <patternFill patternType="solid">
          <fgColor indexed="64"/>
          <bgColor rgb="FFFFCC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fill>
        <patternFill patternType="solid">
          <fgColor indexed="64"/>
          <bgColor theme="0" tint="-0.1499984740745262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rgb="FFFFCC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0" formatCode="General"/>
      <fill>
        <patternFill patternType="solid">
          <fgColor indexed="64"/>
          <bgColor rgb="FFFFCC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1499984740745262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149998474074526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rgb="FFFFCC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0" formatCode="General"/>
      <fill>
        <patternFill patternType="solid">
          <fgColor indexed="64"/>
          <bgColor rgb="FFFFCC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1499984740745262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149998474074526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rgb="FFFFCC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0" formatCode="General"/>
      <fill>
        <patternFill patternType="solid">
          <fgColor indexed="64"/>
          <bgColor rgb="FFFFCC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1499984740745262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149998474074526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rgb="FFFFCC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0" formatCode="General"/>
      <fill>
        <patternFill patternType="solid">
          <fgColor indexed="64"/>
          <bgColor rgb="FFFFCC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1499984740745262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149998474074526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rgb="FFFFCC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0" formatCode="General"/>
      <fill>
        <patternFill patternType="solid">
          <fgColor indexed="64"/>
          <bgColor rgb="FFFFCC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1499984740745262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149998474074526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rgb="FFFFCC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1" formatCode="0"/>
      <fill>
        <patternFill patternType="solid">
          <fgColor indexed="64"/>
          <bgColor rgb="FFFFCC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1499984740745262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14999847407452621"/>
        </patternFill>
      </fill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0" formatCode="General"/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FFFFCC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rgb="FF99FF99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rgb="FFFFCCFF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rgb="FFFFCCFF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rgb="FFFFCCFF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numFmt numFmtId="12" formatCode="&quot;$&quot;#,##0.00_);[Red]\(&quot;$&quot;#,##0.00\)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numFmt numFmtId="19" formatCode="m/d/yy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solid">
          <fgColor indexed="64"/>
          <bgColor rgb="FFFFCCFF"/>
        </patternFill>
      </fill>
    </dxf>
    <dxf>
      <alignment horizontal="center" vertical="bottom" textRotation="0" wrapText="0" indent="0" justifyLastLine="0" shrinkToFit="0" readingOrder="0"/>
    </dxf>
    <dxf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0" formatCode="General"/>
      <fill>
        <patternFill patternType="solid">
          <fgColor indexed="64"/>
          <bgColor rgb="FFFFCCFF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fill>
        <patternFill patternType="solid">
          <fgColor indexed="64"/>
          <bgColor rgb="FFFFFFCC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19" formatCode="m/d/yyyy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19" formatCode="m/d/yyyy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19" formatCode="m/d/yyyy"/>
      <fill>
        <patternFill patternType="solid">
          <fgColor indexed="64"/>
          <bgColor rgb="FFFFCCFF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19" formatCode="m/d/yyyy"/>
      <fill>
        <patternFill patternType="solid">
          <fgColor indexed="64"/>
          <bgColor rgb="FFFFCCFF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0" formatCode="General"/>
      <fill>
        <patternFill patternType="solid">
          <fgColor indexed="64"/>
          <bgColor rgb="FFFFCCFF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19" formatCode="m/d/yyyy"/>
      <fill>
        <patternFill patternType="solid">
          <fgColor indexed="64"/>
          <bgColor rgb="FFFFCCFF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19" formatCode="m/d/yyyy"/>
      <fill>
        <patternFill patternType="solid">
          <fgColor indexed="64"/>
          <bgColor rgb="FFFFFFCC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fill>
        <patternFill patternType="solid">
          <fgColor indexed="64"/>
          <bgColor rgb="FFFFFFCC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fill>
        <patternFill patternType="solid">
          <fgColor indexed="64"/>
          <bgColor rgb="FFFFFFCC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0" formatCode="General"/>
      <fill>
        <patternFill patternType="solid">
          <fgColor indexed="64"/>
          <bgColor rgb="FFFFFFCC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2" formatCode="0.00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27" formatCode="m/d/yyyy\ h:mm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27" formatCode="m/d/yyyy\ h:mm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1" formatCode="0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1" formatCode="0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numFmt numFmtId="0" formatCode="General"/>
      <fill>
        <patternFill patternType="solid">
          <fgColor indexed="64"/>
          <bgColor rgb="FFFFCCFF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numFmt numFmtId="0" formatCode="General"/>
      <fill>
        <patternFill patternType="solid">
          <fgColor indexed="64"/>
          <bgColor rgb="FFFFCCFF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numFmt numFmtId="0" formatCode="General"/>
      <fill>
        <patternFill patternType="solid">
          <fgColor indexed="64"/>
          <bgColor rgb="FFFFCCFF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numFmt numFmtId="0" formatCode="General"/>
      <fill>
        <patternFill patternType="solid">
          <fgColor indexed="64"/>
          <bgColor rgb="FFFFCCFF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numFmt numFmtId="0" formatCode="General"/>
      <fill>
        <patternFill patternType="solid">
          <fgColor indexed="64"/>
          <bgColor rgb="FFFFCCFF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numFmt numFmtId="19" formatCode="m/d/yyyy"/>
      <fill>
        <patternFill patternType="solid">
          <fgColor indexed="64"/>
          <bgColor rgb="FFFFFFCC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fill>
        <patternFill patternType="solid">
          <fgColor indexed="64"/>
          <bgColor rgb="FFFFFFCC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fill>
        <patternFill patternType="solid">
          <fgColor indexed="64"/>
          <bgColor rgb="FFFFFFCC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fill>
        <patternFill patternType="solid">
          <fgColor indexed="64"/>
          <bgColor rgb="FFFFFFCC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0" formatCode="General"/>
      <fill>
        <patternFill patternType="solid">
          <fgColor indexed="64"/>
          <bgColor rgb="FFFFFFCC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rgb="FFFFCCFF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rgb="FF99FF99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numFmt numFmtId="2" formatCode="0.00"/>
      <alignment horizontal="right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numFmt numFmtId="3" formatCode="#,##0"/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numFmt numFmtId="19" formatCode="m/d/yyyy"/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numFmt numFmtId="1" formatCode="0"/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numFmt numFmtId="1" formatCode="0"/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vertAlign val="baseline"/>
        <name val="Aptos"/>
        <family val="2"/>
        <scheme val="none"/>
      </font>
      <alignment horizontal="center" vertical="center" textRotation="0" wrapText="0" indent="0" justifyLastLine="0" shrinkToFit="0" readingOrder="0"/>
    </dxf>
    <dxf>
      <border>
        <top style="medium">
          <color rgb="FF65021A"/>
        </top>
        <bottom style="medium">
          <color rgb="FF65021A"/>
        </bottom>
      </border>
    </dxf>
    <dxf>
      <border>
        <top style="medium">
          <color rgb="FF65021A"/>
        </top>
        <bottom style="medium">
          <color rgb="FF65021A"/>
        </bottom>
      </border>
    </dxf>
    <dxf>
      <font>
        <b/>
        <i val="0"/>
      </font>
    </dxf>
    <dxf>
      <font>
        <b/>
        <i val="0"/>
        <color theme="0"/>
      </font>
      <fill>
        <patternFill>
          <bgColor rgb="FF65021A"/>
        </patternFill>
      </fill>
      <border>
        <bottom style="thin">
          <color theme="0"/>
        </bottom>
      </border>
    </dxf>
    <dxf>
      <font>
        <b/>
        <i/>
      </font>
    </dxf>
    <dxf>
      <font>
        <b/>
        <i/>
      </font>
    </dxf>
    <dxf>
      <fill>
        <patternFill>
          <bgColor rgb="FFCDC092"/>
        </patternFill>
      </fill>
    </dxf>
    <dxf>
      <font>
        <b/>
        <i val="0"/>
        <color theme="0"/>
      </font>
      <fill>
        <patternFill>
          <bgColor rgb="FF8E774D"/>
        </patternFill>
      </fill>
      <border>
        <top style="medium">
          <color theme="1"/>
        </top>
        <bottom style="medium">
          <color theme="1"/>
        </bottom>
      </border>
    </dxf>
    <dxf>
      <font>
        <color theme="1"/>
      </font>
      <fill>
        <patternFill>
          <bgColor theme="0"/>
        </patternFill>
      </fill>
      <border>
        <top style="medium">
          <color rgb="FF65021A"/>
        </top>
        <bottom style="medium">
          <color rgb="FF65021A"/>
        </bottom>
      </border>
    </dxf>
  </dxfs>
  <tableStyles count="1" defaultTableStyle="TableStyleMedium2" defaultPivotStyle="PivotStyleLight16">
    <tableStyle name="FSU" table="0" count="9" xr9:uid="{00000000-0011-0000-FFFF-FFFF00000000}">
      <tableStyleElement type="headerRow" dxfId="293"/>
      <tableStyleElement type="totalRow" dxfId="292"/>
      <tableStyleElement type="firstRowStripe" dxfId="291"/>
      <tableStyleElement type="firstSubtotalRow" dxfId="290"/>
      <tableStyleElement type="secondSubtotalRow" dxfId="289"/>
      <tableStyleElement type="firstRowSubheading" dxfId="288"/>
      <tableStyleElement type="secondRowSubheading" dxfId="287"/>
      <tableStyleElement type="pageFieldLabels" dxfId="286"/>
      <tableStyleElement type="pageFieldValues" dxfId="285"/>
    </tableStyle>
  </tableStyles>
  <colors>
    <mruColors>
      <color rgb="FFCEB888"/>
      <color rgb="FF782F40"/>
      <color rgb="FFFFCCFF"/>
      <color rgb="FF862633"/>
      <color rgb="FFC5B783"/>
      <color rgb="FFCDC092"/>
      <color rgb="FF8E774D"/>
      <color rgb="FFFFFFCC"/>
      <color rgb="FF65021A"/>
      <color rgb="FF6502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ma.caps.fsu.edu\ADMIN-ONLY\Reconciliations\recon%202016\029932\Recon%2011-30-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b06c/Desktop/Copy%20of%20031120-Bertra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ba.intranet.fsu.edu/Documents/GL%20Reconciliation_YYYYMM_wMacro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esearch.fsu.edu/contractsgrants/documents/BudgetSummaryAmendment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Posted Expenses "/>
      <sheetName val="Encumbrances"/>
      <sheetName val="Pending"/>
      <sheetName val="Personnel"/>
      <sheetName val="Exp 11-30-15"/>
      <sheetName val="Enc 11-30-15"/>
      <sheetName val="Current Month"/>
    </sheetNames>
    <sheetDataSet>
      <sheetData sheetId="0" refreshError="1"/>
      <sheetData sheetId="1">
        <row r="2">
          <cell r="X2">
            <v>27</v>
          </cell>
          <cell r="Y2" t="str">
            <v>Domestic Travel</v>
          </cell>
        </row>
        <row r="3">
          <cell r="X3">
            <v>780.8</v>
          </cell>
          <cell r="Y3" t="str">
            <v>Domestic Travel</v>
          </cell>
        </row>
        <row r="4">
          <cell r="X4">
            <v>379.67</v>
          </cell>
          <cell r="Y4" t="str">
            <v>F&amp;A</v>
          </cell>
        </row>
        <row r="5">
          <cell r="X5">
            <v>770.4</v>
          </cell>
          <cell r="Y5" t="str">
            <v>OPS</v>
          </cell>
        </row>
        <row r="6">
          <cell r="X6">
            <v>362.09</v>
          </cell>
          <cell r="Y6" t="str">
            <v>F&amp;A</v>
          </cell>
        </row>
        <row r="7">
          <cell r="X7">
            <v>349.4</v>
          </cell>
          <cell r="Y7" t="str">
            <v>Domestic Travel</v>
          </cell>
        </row>
        <row r="8">
          <cell r="X8">
            <v>164.22</v>
          </cell>
          <cell r="Y8" t="str">
            <v>F&amp;A</v>
          </cell>
        </row>
        <row r="9">
          <cell r="X9">
            <v>13.35</v>
          </cell>
          <cell r="Y9" t="str">
            <v>Domestic Travel</v>
          </cell>
        </row>
        <row r="10">
          <cell r="X10">
            <v>33</v>
          </cell>
          <cell r="Y10" t="str">
            <v>Domestic Travel</v>
          </cell>
        </row>
        <row r="11">
          <cell r="X11">
            <v>50</v>
          </cell>
          <cell r="Y11" t="str">
            <v>Domestic Travel</v>
          </cell>
        </row>
        <row r="12">
          <cell r="X12">
            <v>33</v>
          </cell>
          <cell r="Y12" t="str">
            <v>Domestic Travel</v>
          </cell>
        </row>
        <row r="13">
          <cell r="X13">
            <v>38</v>
          </cell>
          <cell r="Y13" t="str">
            <v>Domestic Travel</v>
          </cell>
        </row>
        <row r="14">
          <cell r="X14">
            <v>78.650000000000006</v>
          </cell>
          <cell r="Y14" t="str">
            <v>F&amp;A</v>
          </cell>
        </row>
        <row r="15">
          <cell r="X15">
            <v>856</v>
          </cell>
          <cell r="Y15" t="str">
            <v>OPS</v>
          </cell>
        </row>
        <row r="16">
          <cell r="X16">
            <v>402.32</v>
          </cell>
          <cell r="Y16" t="str">
            <v>F&amp;A</v>
          </cell>
        </row>
        <row r="17">
          <cell r="X17">
            <v>11.39</v>
          </cell>
          <cell r="Y17" t="str">
            <v>OPS</v>
          </cell>
        </row>
        <row r="18">
          <cell r="X18">
            <v>5.35</v>
          </cell>
          <cell r="Y18" t="str">
            <v>F&amp;A</v>
          </cell>
        </row>
        <row r="19">
          <cell r="X19">
            <v>639</v>
          </cell>
          <cell r="Y19" t="str">
            <v>Tuition</v>
          </cell>
        </row>
        <row r="20">
          <cell r="X20">
            <v>856</v>
          </cell>
          <cell r="Y20" t="str">
            <v>OPS</v>
          </cell>
        </row>
        <row r="21">
          <cell r="X21">
            <v>402.32</v>
          </cell>
          <cell r="Y21" t="str">
            <v>F&amp;A</v>
          </cell>
        </row>
        <row r="22">
          <cell r="X22">
            <v>856</v>
          </cell>
          <cell r="Y22" t="str">
            <v>OPS</v>
          </cell>
        </row>
        <row r="23">
          <cell r="X23">
            <v>402.32</v>
          </cell>
          <cell r="Y23" t="str">
            <v>F&amp;A</v>
          </cell>
        </row>
        <row r="24">
          <cell r="X24">
            <v>789.48</v>
          </cell>
          <cell r="Y24" t="str">
            <v>Tuition</v>
          </cell>
        </row>
        <row r="25">
          <cell r="X25">
            <v>11.98</v>
          </cell>
          <cell r="Y25" t="str">
            <v>OPS</v>
          </cell>
        </row>
        <row r="26">
          <cell r="X26">
            <v>5.63</v>
          </cell>
          <cell r="Y26" t="str">
            <v>F&amp;A</v>
          </cell>
        </row>
        <row r="27">
          <cell r="X27">
            <v>856</v>
          </cell>
          <cell r="Y27" t="str">
            <v>OPS</v>
          </cell>
        </row>
        <row r="28">
          <cell r="X28">
            <v>402.32</v>
          </cell>
          <cell r="Y28" t="str">
            <v>F&amp;A</v>
          </cell>
        </row>
        <row r="29">
          <cell r="X29">
            <v>2697.84</v>
          </cell>
          <cell r="Y29" t="str">
            <v>OPS</v>
          </cell>
        </row>
        <row r="30">
          <cell r="X30">
            <v>789.48</v>
          </cell>
          <cell r="Y30" t="str">
            <v>Tuition</v>
          </cell>
        </row>
        <row r="31">
          <cell r="X31">
            <v>1267.98</v>
          </cell>
          <cell r="Y31" t="str">
            <v>F&amp;A</v>
          </cell>
        </row>
        <row r="32">
          <cell r="X32">
            <v>24.88</v>
          </cell>
          <cell r="Y32" t="str">
            <v>OPS</v>
          </cell>
        </row>
        <row r="33">
          <cell r="X33">
            <v>11.69</v>
          </cell>
          <cell r="Y33" t="str">
            <v>F&amp;A</v>
          </cell>
        </row>
        <row r="34">
          <cell r="X34">
            <v>1656.8</v>
          </cell>
          <cell r="Y34" t="str">
            <v>OPS</v>
          </cell>
        </row>
        <row r="35">
          <cell r="X35">
            <v>778.7</v>
          </cell>
          <cell r="Y35" t="str">
            <v>F&amp;A</v>
          </cell>
        </row>
        <row r="36">
          <cell r="X36">
            <v>17.899999999999999</v>
          </cell>
          <cell r="Y36" t="str">
            <v>Material and Supplies</v>
          </cell>
        </row>
        <row r="37">
          <cell r="X37">
            <v>8.41</v>
          </cell>
          <cell r="Y37" t="str">
            <v>F&amp;A</v>
          </cell>
        </row>
        <row r="38">
          <cell r="X38">
            <v>1656.8</v>
          </cell>
          <cell r="Y38" t="str">
            <v>OPS</v>
          </cell>
        </row>
        <row r="39">
          <cell r="X39">
            <v>778.7</v>
          </cell>
          <cell r="Y39" t="str">
            <v>F&amp;A</v>
          </cell>
        </row>
        <row r="40">
          <cell r="X40">
            <v>-157.9</v>
          </cell>
          <cell r="Y40" t="str">
            <v>Tuition</v>
          </cell>
        </row>
        <row r="41">
          <cell r="X41">
            <v>-157.9</v>
          </cell>
          <cell r="Y41" t="str">
            <v>Tuition</v>
          </cell>
        </row>
        <row r="42">
          <cell r="X42">
            <v>631.58000000000004</v>
          </cell>
          <cell r="Y42" t="str">
            <v>Tuition</v>
          </cell>
        </row>
        <row r="43">
          <cell r="X43">
            <v>23.2</v>
          </cell>
          <cell r="Y43" t="str">
            <v>OPS</v>
          </cell>
        </row>
        <row r="44">
          <cell r="X44">
            <v>10.9</v>
          </cell>
          <cell r="Y44" t="str">
            <v>F&amp;A</v>
          </cell>
        </row>
        <row r="45">
          <cell r="X45">
            <v>1656.8</v>
          </cell>
          <cell r="Y45" t="str">
            <v>OPS</v>
          </cell>
        </row>
        <row r="46">
          <cell r="X46">
            <v>778.7</v>
          </cell>
          <cell r="Y46" t="str">
            <v>F&amp;A</v>
          </cell>
        </row>
        <row r="47">
          <cell r="X47">
            <v>1656.8</v>
          </cell>
          <cell r="Y47" t="str">
            <v>OPS</v>
          </cell>
        </row>
        <row r="48">
          <cell r="X48">
            <v>631.58000000000004</v>
          </cell>
          <cell r="Y48" t="str">
            <v>Tuition</v>
          </cell>
        </row>
        <row r="49">
          <cell r="X49">
            <v>778.7</v>
          </cell>
          <cell r="Y49" t="str">
            <v>F&amp;A</v>
          </cell>
        </row>
        <row r="50">
          <cell r="X50">
            <v>845.88</v>
          </cell>
          <cell r="Y50" t="str">
            <v>Material and Supplies</v>
          </cell>
        </row>
        <row r="51">
          <cell r="X51">
            <v>397.56</v>
          </cell>
          <cell r="Y51" t="str">
            <v>F&amp;A</v>
          </cell>
        </row>
        <row r="52">
          <cell r="X52">
            <v>1656.8</v>
          </cell>
          <cell r="Y52" t="str">
            <v>OPS</v>
          </cell>
        </row>
        <row r="53">
          <cell r="X53">
            <v>23.2</v>
          </cell>
          <cell r="Y53" t="str">
            <v>OPS</v>
          </cell>
        </row>
        <row r="54">
          <cell r="X54">
            <v>10.9</v>
          </cell>
          <cell r="Y54" t="str">
            <v>F&amp;A</v>
          </cell>
        </row>
        <row r="55">
          <cell r="X55">
            <v>778.7</v>
          </cell>
          <cell r="Y55" t="str">
            <v>F&amp;A</v>
          </cell>
        </row>
        <row r="56">
          <cell r="X56">
            <v>45</v>
          </cell>
          <cell r="Y56" t="str">
            <v>Material and Supplies</v>
          </cell>
        </row>
        <row r="57">
          <cell r="X57">
            <v>21.15</v>
          </cell>
          <cell r="Y57" t="str">
            <v>F&amp;A</v>
          </cell>
        </row>
        <row r="58">
          <cell r="X58">
            <v>1314.4</v>
          </cell>
          <cell r="Y58" t="str">
            <v>OPS</v>
          </cell>
        </row>
        <row r="59">
          <cell r="X59">
            <v>505.27</v>
          </cell>
          <cell r="Y59" t="str">
            <v>Tuition</v>
          </cell>
        </row>
        <row r="60">
          <cell r="X60">
            <v>617.77</v>
          </cell>
          <cell r="Y60" t="str">
            <v>F&amp;A</v>
          </cell>
        </row>
        <row r="61">
          <cell r="X61">
            <v>1483.52</v>
          </cell>
          <cell r="Y61" t="str">
            <v>Material and Supplies</v>
          </cell>
        </row>
        <row r="62">
          <cell r="X62">
            <v>697.25</v>
          </cell>
          <cell r="Y62" t="str">
            <v>F&amp;A</v>
          </cell>
        </row>
        <row r="63">
          <cell r="X63">
            <v>800.8</v>
          </cell>
          <cell r="Y63" t="str">
            <v>OPS</v>
          </cell>
        </row>
        <row r="64">
          <cell r="X64">
            <v>60</v>
          </cell>
          <cell r="Y64" t="str">
            <v>Material and Supplies</v>
          </cell>
        </row>
        <row r="65">
          <cell r="X65">
            <v>28.2</v>
          </cell>
          <cell r="Y65" t="str">
            <v>F&amp;A</v>
          </cell>
        </row>
        <row r="66">
          <cell r="X66">
            <v>376.38</v>
          </cell>
          <cell r="Y66" t="str">
            <v>F&amp;A</v>
          </cell>
        </row>
        <row r="67">
          <cell r="X67">
            <v>26.4</v>
          </cell>
          <cell r="Y67" t="str">
            <v>OPS</v>
          </cell>
        </row>
        <row r="68">
          <cell r="X68">
            <v>12.41</v>
          </cell>
          <cell r="Y68" t="str">
            <v>F&amp;A</v>
          </cell>
        </row>
        <row r="69">
          <cell r="X69">
            <v>133.12</v>
          </cell>
          <cell r="Y69" t="str">
            <v>Material and Supplies</v>
          </cell>
        </row>
        <row r="70">
          <cell r="X70">
            <v>62.57</v>
          </cell>
          <cell r="Y70" t="str">
            <v>F&amp;A</v>
          </cell>
        </row>
        <row r="71">
          <cell r="X71">
            <v>240</v>
          </cell>
          <cell r="Y71" t="str">
            <v>Domestic Travel</v>
          </cell>
        </row>
        <row r="72">
          <cell r="X72">
            <v>112.8</v>
          </cell>
          <cell r="Y72" t="str">
            <v>F&amp;A</v>
          </cell>
        </row>
        <row r="73">
          <cell r="X73">
            <v>804.8</v>
          </cell>
          <cell r="Y73" t="str">
            <v>OPS</v>
          </cell>
        </row>
        <row r="74">
          <cell r="X74">
            <v>378.26</v>
          </cell>
          <cell r="Y74" t="str">
            <v>F&amp;A</v>
          </cell>
        </row>
        <row r="75">
          <cell r="X75">
            <v>200.72</v>
          </cell>
          <cell r="Y75" t="str">
            <v>Senior Personnel</v>
          </cell>
        </row>
        <row r="76">
          <cell r="X76">
            <v>12.44</v>
          </cell>
          <cell r="Y76" t="str">
            <v>Senior Personnel</v>
          </cell>
        </row>
        <row r="77">
          <cell r="X77">
            <v>2.91</v>
          </cell>
          <cell r="Y77" t="str">
            <v>Senior Personnel</v>
          </cell>
        </row>
        <row r="78">
          <cell r="X78">
            <v>15.9</v>
          </cell>
          <cell r="Y78" t="str">
            <v>Senior Personnel</v>
          </cell>
        </row>
        <row r="79">
          <cell r="X79">
            <v>804.8</v>
          </cell>
          <cell r="Y79" t="str">
            <v>OPS</v>
          </cell>
        </row>
        <row r="80">
          <cell r="X80">
            <v>487.29</v>
          </cell>
          <cell r="Y80" t="str">
            <v>F&amp;A</v>
          </cell>
        </row>
        <row r="81">
          <cell r="X81">
            <v>2.61</v>
          </cell>
          <cell r="Y81" t="str">
            <v>Senior Personnel</v>
          </cell>
        </row>
        <row r="82">
          <cell r="X82">
            <v>12.67</v>
          </cell>
          <cell r="Y82" t="str">
            <v>OPS</v>
          </cell>
        </row>
        <row r="83">
          <cell r="X83">
            <v>5.95</v>
          </cell>
          <cell r="Y83" t="str">
            <v>F&amp;A</v>
          </cell>
        </row>
        <row r="84">
          <cell r="X84">
            <v>1.23</v>
          </cell>
          <cell r="Y84" t="str">
            <v>F&amp;A</v>
          </cell>
        </row>
        <row r="85">
          <cell r="X85">
            <v>2007.18</v>
          </cell>
          <cell r="Y85" t="str">
            <v>Senior Personnel</v>
          </cell>
        </row>
        <row r="86">
          <cell r="X86">
            <v>124.44</v>
          </cell>
          <cell r="Y86" t="str">
            <v>Senior Personnel</v>
          </cell>
        </row>
        <row r="87">
          <cell r="X87">
            <v>29.1</v>
          </cell>
          <cell r="Y87" t="str">
            <v>Senior Personnel</v>
          </cell>
        </row>
        <row r="88">
          <cell r="X88">
            <v>113.2</v>
          </cell>
          <cell r="Y88" t="str">
            <v>Senior Personnel</v>
          </cell>
        </row>
        <row r="89">
          <cell r="X89">
            <v>963.36</v>
          </cell>
          <cell r="Y89" t="str">
            <v>OPS</v>
          </cell>
        </row>
        <row r="90">
          <cell r="X90">
            <v>1521.52</v>
          </cell>
          <cell r="Y90" t="str">
            <v>F&amp;A</v>
          </cell>
        </row>
        <row r="91">
          <cell r="X91">
            <v>1003.59</v>
          </cell>
          <cell r="Y91" t="str">
            <v>Senior Personnel</v>
          </cell>
        </row>
        <row r="92">
          <cell r="X92">
            <v>62.22</v>
          </cell>
          <cell r="Y92" t="str">
            <v>Senior Personnel</v>
          </cell>
        </row>
        <row r="93">
          <cell r="X93">
            <v>14.55</v>
          </cell>
          <cell r="Y93" t="str">
            <v>Senior Personnel</v>
          </cell>
        </row>
        <row r="94">
          <cell r="X94">
            <v>56.6</v>
          </cell>
          <cell r="Y94" t="str">
            <v>Senior Personnel</v>
          </cell>
        </row>
        <row r="95">
          <cell r="X95">
            <v>1041.04</v>
          </cell>
          <cell r="Y95" t="str">
            <v>OPS</v>
          </cell>
        </row>
        <row r="96">
          <cell r="X96">
            <v>1023.66</v>
          </cell>
          <cell r="Y96" t="str">
            <v>F&amp;A</v>
          </cell>
        </row>
        <row r="97">
          <cell r="X97">
            <v>39.14</v>
          </cell>
          <cell r="Y97" t="str">
            <v>Senior Personnel</v>
          </cell>
        </row>
        <row r="98">
          <cell r="X98">
            <v>35.11</v>
          </cell>
          <cell r="Y98" t="str">
            <v>OPS</v>
          </cell>
        </row>
        <row r="99">
          <cell r="X99">
            <v>18.399999999999999</v>
          </cell>
          <cell r="Y99" t="str">
            <v>F&amp;A</v>
          </cell>
        </row>
        <row r="100">
          <cell r="X100">
            <v>16.5</v>
          </cell>
          <cell r="Y100" t="str">
            <v>F&amp;A</v>
          </cell>
        </row>
        <row r="101">
          <cell r="X101">
            <v>800.8</v>
          </cell>
          <cell r="Y101" t="str">
            <v>OPS</v>
          </cell>
        </row>
        <row r="102">
          <cell r="X102">
            <v>376.38</v>
          </cell>
          <cell r="Y102" t="str">
            <v>F&amp;A</v>
          </cell>
        </row>
        <row r="103">
          <cell r="X103">
            <v>17.350000000000001</v>
          </cell>
          <cell r="Y103" t="str">
            <v>Material and Supplies</v>
          </cell>
        </row>
        <row r="104">
          <cell r="X104">
            <v>63.16</v>
          </cell>
          <cell r="Y104" t="str">
            <v>Material and Supplies</v>
          </cell>
        </row>
        <row r="105">
          <cell r="X105">
            <v>37.840000000000003</v>
          </cell>
          <cell r="Y105" t="str">
            <v>F&amp;A</v>
          </cell>
        </row>
        <row r="106">
          <cell r="X106">
            <v>800.8</v>
          </cell>
          <cell r="Y106" t="str">
            <v>OPS</v>
          </cell>
        </row>
        <row r="107">
          <cell r="X107">
            <v>376.38</v>
          </cell>
          <cell r="Y107" t="str">
            <v>F&amp;A</v>
          </cell>
        </row>
        <row r="108">
          <cell r="X108">
            <v>11.21</v>
          </cell>
          <cell r="Y108" t="str">
            <v>OPS</v>
          </cell>
        </row>
        <row r="109">
          <cell r="X109">
            <v>800.8</v>
          </cell>
          <cell r="Y109" t="str">
            <v>OPS</v>
          </cell>
        </row>
        <row r="110">
          <cell r="X110">
            <v>5.27</v>
          </cell>
          <cell r="Y110" t="str">
            <v>F&amp;A</v>
          </cell>
        </row>
        <row r="111">
          <cell r="X111">
            <v>376.38</v>
          </cell>
          <cell r="Y111" t="str">
            <v>F&amp;A</v>
          </cell>
        </row>
        <row r="112">
          <cell r="X112">
            <v>1797.46</v>
          </cell>
          <cell r="Y112" t="str">
            <v>Tuition</v>
          </cell>
        </row>
        <row r="113">
          <cell r="X113">
            <v>224.1</v>
          </cell>
          <cell r="Y113" t="str">
            <v>Material and Supplies</v>
          </cell>
        </row>
        <row r="114">
          <cell r="X114">
            <v>21.23</v>
          </cell>
          <cell r="Y114" t="str">
            <v>Material and Supplies</v>
          </cell>
        </row>
        <row r="115">
          <cell r="X115">
            <v>115.31</v>
          </cell>
          <cell r="Y115" t="str">
            <v>F&amp;A</v>
          </cell>
        </row>
        <row r="116">
          <cell r="X116">
            <v>800.8</v>
          </cell>
          <cell r="Y116" t="str">
            <v>OPS</v>
          </cell>
        </row>
        <row r="117">
          <cell r="X117">
            <v>376.38</v>
          </cell>
          <cell r="Y117" t="str">
            <v>F&amp;A</v>
          </cell>
        </row>
        <row r="118">
          <cell r="X118">
            <v>793.82</v>
          </cell>
          <cell r="Y118" t="str">
            <v>OPS</v>
          </cell>
        </row>
        <row r="119">
          <cell r="X119">
            <v>373.1</v>
          </cell>
          <cell r="Y119" t="str">
            <v>F&amp;A</v>
          </cell>
        </row>
        <row r="120">
          <cell r="X120">
            <v>36</v>
          </cell>
          <cell r="Y120" t="str">
            <v>Domestic Travel</v>
          </cell>
        </row>
        <row r="121">
          <cell r="X121">
            <v>55</v>
          </cell>
          <cell r="Y121" t="str">
            <v>Domestic Travel</v>
          </cell>
        </row>
        <row r="122">
          <cell r="X122">
            <v>76</v>
          </cell>
          <cell r="Y122" t="str">
            <v>Domestic Travel</v>
          </cell>
        </row>
        <row r="123">
          <cell r="X123">
            <v>29.56</v>
          </cell>
          <cell r="Y123" t="str">
            <v>Domestic Travel</v>
          </cell>
        </row>
        <row r="124">
          <cell r="X124">
            <v>24</v>
          </cell>
          <cell r="Y124" t="str">
            <v>Domestic Travel</v>
          </cell>
        </row>
        <row r="125">
          <cell r="X125">
            <v>16.77</v>
          </cell>
          <cell r="Y125" t="str">
            <v>OPS</v>
          </cell>
        </row>
        <row r="126">
          <cell r="X126">
            <v>103.66</v>
          </cell>
          <cell r="Y126" t="str">
            <v>F&amp;A</v>
          </cell>
        </row>
        <row r="127">
          <cell r="X127">
            <v>7.88</v>
          </cell>
          <cell r="Y127" t="str">
            <v>F&amp;A</v>
          </cell>
        </row>
        <row r="128">
          <cell r="X128">
            <v>1218.5999999999999</v>
          </cell>
          <cell r="Y128" t="str">
            <v>OPS</v>
          </cell>
        </row>
        <row r="129">
          <cell r="X129">
            <v>352.26</v>
          </cell>
          <cell r="Y129" t="str">
            <v>Tuition</v>
          </cell>
        </row>
        <row r="130">
          <cell r="X130">
            <v>370.42</v>
          </cell>
          <cell r="Y130" t="str">
            <v>Tuition</v>
          </cell>
        </row>
        <row r="131">
          <cell r="X131">
            <v>-1093</v>
          </cell>
          <cell r="Y131" t="str">
            <v>Tuition</v>
          </cell>
        </row>
        <row r="132">
          <cell r="X132">
            <v>740.84</v>
          </cell>
          <cell r="Y132" t="str">
            <v>Tuition</v>
          </cell>
        </row>
        <row r="133">
          <cell r="X133">
            <v>572.74</v>
          </cell>
          <cell r="Y133" t="str">
            <v>F&amp;A</v>
          </cell>
        </row>
        <row r="134">
          <cell r="X134">
            <v>336.95</v>
          </cell>
          <cell r="Y134" t="str">
            <v>Domestic Travel</v>
          </cell>
        </row>
        <row r="135">
          <cell r="X135">
            <v>158.37</v>
          </cell>
          <cell r="Y135" t="str">
            <v>F&amp;A</v>
          </cell>
        </row>
        <row r="136">
          <cell r="X136">
            <v>1218.5999999999999</v>
          </cell>
          <cell r="Y136" t="str">
            <v>OPS</v>
          </cell>
        </row>
        <row r="137">
          <cell r="X137">
            <v>572.74</v>
          </cell>
          <cell r="Y137" t="str">
            <v>F&amp;A</v>
          </cell>
        </row>
        <row r="138">
          <cell r="X138">
            <v>1218.5999999999999</v>
          </cell>
          <cell r="Y138" t="str">
            <v>OPS</v>
          </cell>
        </row>
        <row r="139">
          <cell r="X139">
            <v>572.74</v>
          </cell>
          <cell r="Y139" t="str">
            <v>F&amp;A</v>
          </cell>
        </row>
        <row r="140">
          <cell r="X140">
            <v>370.42</v>
          </cell>
          <cell r="Y140" t="str">
            <v>Tuition</v>
          </cell>
        </row>
        <row r="141">
          <cell r="X141">
            <v>740.84</v>
          </cell>
          <cell r="Y141" t="str">
            <v>Tuition</v>
          </cell>
        </row>
        <row r="142">
          <cell r="X142">
            <v>25.59</v>
          </cell>
          <cell r="Y142" t="str">
            <v>OPS</v>
          </cell>
        </row>
        <row r="143">
          <cell r="X143">
            <v>12.03</v>
          </cell>
          <cell r="Y143" t="str">
            <v>F&amp;A</v>
          </cell>
        </row>
        <row r="144">
          <cell r="X144">
            <v>1218.5899999999999</v>
          </cell>
          <cell r="Y144" t="str">
            <v>OPS</v>
          </cell>
        </row>
        <row r="145">
          <cell r="X145">
            <v>572.74</v>
          </cell>
          <cell r="Y145" t="str">
            <v>F&amp;A</v>
          </cell>
        </row>
        <row r="146">
          <cell r="X146">
            <v>1218.5999999999999</v>
          </cell>
          <cell r="Y146" t="str">
            <v>OPS</v>
          </cell>
        </row>
        <row r="147">
          <cell r="X147">
            <v>740.84</v>
          </cell>
          <cell r="Y147" t="str">
            <v>Tuition</v>
          </cell>
        </row>
        <row r="148">
          <cell r="X148">
            <v>370.42</v>
          </cell>
          <cell r="Y148" t="str">
            <v>Tuition</v>
          </cell>
        </row>
        <row r="149">
          <cell r="X149">
            <v>572.74</v>
          </cell>
          <cell r="Y149" t="str">
            <v>F&amp;A</v>
          </cell>
        </row>
        <row r="150">
          <cell r="X150">
            <v>57.99</v>
          </cell>
          <cell r="Y150" t="str">
            <v>Material and Supplies</v>
          </cell>
        </row>
        <row r="151">
          <cell r="X151">
            <v>212.97</v>
          </cell>
          <cell r="Y151" t="str">
            <v>Material and Supplies</v>
          </cell>
        </row>
        <row r="152">
          <cell r="X152">
            <v>127.36</v>
          </cell>
          <cell r="Y152" t="str">
            <v>F&amp;A</v>
          </cell>
        </row>
        <row r="153">
          <cell r="X153">
            <v>17.059999999999999</v>
          </cell>
          <cell r="Y153" t="str">
            <v>OPS</v>
          </cell>
        </row>
        <row r="154">
          <cell r="X154">
            <v>8.02</v>
          </cell>
          <cell r="Y154" t="str">
            <v>F&amp;A</v>
          </cell>
        </row>
        <row r="155">
          <cell r="X155">
            <v>1218.5899999999999</v>
          </cell>
          <cell r="Y155" t="str">
            <v>OPS</v>
          </cell>
        </row>
        <row r="156">
          <cell r="X156">
            <v>572.74</v>
          </cell>
          <cell r="Y156" t="str">
            <v>F&amp;A</v>
          </cell>
        </row>
        <row r="157">
          <cell r="X157">
            <v>1176.82</v>
          </cell>
          <cell r="Y157" t="str">
            <v>OPS</v>
          </cell>
        </row>
        <row r="158">
          <cell r="X158">
            <v>553.11</v>
          </cell>
          <cell r="Y158" t="str">
            <v>F&amp;A</v>
          </cell>
        </row>
        <row r="159">
          <cell r="X159">
            <v>16.77</v>
          </cell>
          <cell r="Y159" t="str">
            <v>OPS</v>
          </cell>
        </row>
        <row r="160">
          <cell r="X160">
            <v>7.88</v>
          </cell>
          <cell r="Y160" t="str">
            <v>F&amp;A</v>
          </cell>
        </row>
        <row r="161">
          <cell r="X161">
            <v>1260.3800000000001</v>
          </cell>
          <cell r="Y161" t="str">
            <v>OPS</v>
          </cell>
        </row>
        <row r="162">
          <cell r="X162">
            <v>592.38</v>
          </cell>
          <cell r="Y162" t="str">
            <v>F&amp;A</v>
          </cell>
        </row>
        <row r="163">
          <cell r="X163">
            <v>704.61</v>
          </cell>
          <cell r="Y163" t="str">
            <v>Tuition</v>
          </cell>
        </row>
        <row r="164">
          <cell r="X164">
            <v>352.29</v>
          </cell>
          <cell r="Y164" t="str">
            <v>Tuition</v>
          </cell>
        </row>
        <row r="165">
          <cell r="X165">
            <v>1218.5999999999999</v>
          </cell>
          <cell r="Y165" t="str">
            <v>OPS</v>
          </cell>
        </row>
        <row r="166">
          <cell r="X166">
            <v>572.74</v>
          </cell>
          <cell r="Y166" t="str">
            <v>F&amp;A</v>
          </cell>
        </row>
        <row r="167">
          <cell r="X167">
            <v>388.58</v>
          </cell>
          <cell r="Y167" t="str">
            <v>Tuition</v>
          </cell>
        </row>
        <row r="168">
          <cell r="X168">
            <v>777.09</v>
          </cell>
          <cell r="Y168" t="str">
            <v>Tuition</v>
          </cell>
        </row>
        <row r="169">
          <cell r="X169">
            <v>17.350000000000001</v>
          </cell>
          <cell r="Y169" t="str">
            <v>OPS</v>
          </cell>
        </row>
        <row r="170">
          <cell r="X170">
            <v>8.15</v>
          </cell>
          <cell r="Y170" t="str">
            <v>F&amp;A</v>
          </cell>
        </row>
        <row r="171">
          <cell r="X171">
            <v>1218.5999999999999</v>
          </cell>
          <cell r="Y171" t="str">
            <v>OPS</v>
          </cell>
        </row>
        <row r="172">
          <cell r="X172">
            <v>572.74</v>
          </cell>
          <cell r="Y172" t="str">
            <v>F&amp;A</v>
          </cell>
        </row>
        <row r="173">
          <cell r="X173">
            <v>1218.5999999999999</v>
          </cell>
          <cell r="Y173" t="str">
            <v>OPS</v>
          </cell>
        </row>
        <row r="174">
          <cell r="X174">
            <v>740.84</v>
          </cell>
          <cell r="Y174" t="str">
            <v>Tuition</v>
          </cell>
        </row>
        <row r="175">
          <cell r="X175">
            <v>370.42</v>
          </cell>
          <cell r="Y175" t="str">
            <v>Tuition</v>
          </cell>
        </row>
        <row r="176">
          <cell r="X176">
            <v>572.74</v>
          </cell>
          <cell r="Y176" t="str">
            <v>F&amp;A</v>
          </cell>
        </row>
        <row r="177">
          <cell r="X177">
            <v>17.059999999999999</v>
          </cell>
          <cell r="Y177" t="str">
            <v>OPS</v>
          </cell>
        </row>
        <row r="178">
          <cell r="X178">
            <v>8.02</v>
          </cell>
          <cell r="Y178" t="str">
            <v>F&amp;A</v>
          </cell>
        </row>
        <row r="179">
          <cell r="X179">
            <v>1218.5999999999999</v>
          </cell>
          <cell r="Y179" t="str">
            <v>OPS</v>
          </cell>
        </row>
        <row r="180">
          <cell r="X180">
            <v>572.74</v>
          </cell>
          <cell r="Y180" t="str">
            <v>F&amp;A</v>
          </cell>
        </row>
        <row r="181">
          <cell r="X181">
            <v>1218.5999999999999</v>
          </cell>
          <cell r="Y181" t="str">
            <v>OPS</v>
          </cell>
        </row>
        <row r="182">
          <cell r="X182">
            <v>740.84</v>
          </cell>
          <cell r="Y182" t="str">
            <v>Tuition</v>
          </cell>
        </row>
        <row r="183">
          <cell r="X183">
            <v>370.42</v>
          </cell>
          <cell r="Y183" t="str">
            <v>Tuition</v>
          </cell>
        </row>
        <row r="184">
          <cell r="X184">
            <v>572.74</v>
          </cell>
          <cell r="Y184" t="str">
            <v>F&amp;A</v>
          </cell>
        </row>
        <row r="185">
          <cell r="X185">
            <v>17.059999999999999</v>
          </cell>
          <cell r="Y185" t="str">
            <v>OPS</v>
          </cell>
        </row>
        <row r="186">
          <cell r="X186">
            <v>8.02</v>
          </cell>
          <cell r="Y186" t="str">
            <v>F&amp;A</v>
          </cell>
        </row>
        <row r="187">
          <cell r="X187">
            <v>1218.5999999999999</v>
          </cell>
          <cell r="Y187" t="str">
            <v>OPS</v>
          </cell>
        </row>
        <row r="188">
          <cell r="X188">
            <v>572.74</v>
          </cell>
          <cell r="Y188" t="str">
            <v>F&amp;A</v>
          </cell>
        </row>
        <row r="189">
          <cell r="X189">
            <v>1218.5999999999999</v>
          </cell>
          <cell r="Y189" t="str">
            <v>OPS</v>
          </cell>
        </row>
        <row r="190">
          <cell r="X190">
            <v>740.84</v>
          </cell>
          <cell r="Y190" t="str">
            <v>Tuition</v>
          </cell>
        </row>
        <row r="191">
          <cell r="X191">
            <v>370.42</v>
          </cell>
          <cell r="Y191" t="str">
            <v>Tuition</v>
          </cell>
        </row>
        <row r="192">
          <cell r="X192">
            <v>572.74</v>
          </cell>
          <cell r="Y192" t="str">
            <v>F&amp;A</v>
          </cell>
        </row>
        <row r="193">
          <cell r="X193">
            <v>1218.5999999999999</v>
          </cell>
          <cell r="Y193" t="str">
            <v>OPS</v>
          </cell>
        </row>
        <row r="194">
          <cell r="X194">
            <v>25.59</v>
          </cell>
          <cell r="Y194" t="str">
            <v>OPS</v>
          </cell>
        </row>
        <row r="195">
          <cell r="X195">
            <v>572.74</v>
          </cell>
          <cell r="Y195" t="str">
            <v>F&amp;A</v>
          </cell>
        </row>
        <row r="196">
          <cell r="X196">
            <v>12.03</v>
          </cell>
          <cell r="Y196" t="str">
            <v>F&amp;A</v>
          </cell>
        </row>
        <row r="197">
          <cell r="X197">
            <v>131.72999999999999</v>
          </cell>
          <cell r="Y197" t="str">
            <v>Senior Personnel</v>
          </cell>
        </row>
        <row r="198">
          <cell r="X198">
            <v>8.17</v>
          </cell>
          <cell r="Y198" t="str">
            <v>Senior Personnel</v>
          </cell>
        </row>
        <row r="199">
          <cell r="X199">
            <v>1.91</v>
          </cell>
          <cell r="Y199" t="str">
            <v>Senior Personnel</v>
          </cell>
        </row>
        <row r="200">
          <cell r="X200">
            <v>7.43</v>
          </cell>
          <cell r="Y200" t="str">
            <v>Senior Personnel</v>
          </cell>
        </row>
        <row r="201">
          <cell r="X201">
            <v>1495.43</v>
          </cell>
          <cell r="Y201" t="str">
            <v>OPS</v>
          </cell>
        </row>
        <row r="202">
          <cell r="X202">
            <v>592.59</v>
          </cell>
          <cell r="Y202" t="str">
            <v>Material and Supplies</v>
          </cell>
        </row>
        <row r="203">
          <cell r="X203">
            <v>631.98</v>
          </cell>
          <cell r="Y203" t="str">
            <v>Tuition</v>
          </cell>
        </row>
        <row r="204">
          <cell r="X204">
            <v>316.08999999999997</v>
          </cell>
          <cell r="Y204" t="str">
            <v>Tuition</v>
          </cell>
        </row>
        <row r="205">
          <cell r="X205">
            <v>278.52</v>
          </cell>
          <cell r="Y205" t="str">
            <v>F&amp;A</v>
          </cell>
        </row>
        <row r="206">
          <cell r="X206">
            <v>772.99</v>
          </cell>
          <cell r="Y206" t="str">
            <v>F&amp;A</v>
          </cell>
        </row>
        <row r="207">
          <cell r="X207">
            <v>658.66</v>
          </cell>
          <cell r="Y207" t="str">
            <v>Senior Personnel</v>
          </cell>
        </row>
        <row r="208">
          <cell r="X208">
            <v>40.840000000000003</v>
          </cell>
          <cell r="Y208" t="str">
            <v>Senior Personnel</v>
          </cell>
        </row>
        <row r="209">
          <cell r="X209">
            <v>9.5500000000000007</v>
          </cell>
          <cell r="Y209" t="str">
            <v>Senior Personnel</v>
          </cell>
        </row>
        <row r="210">
          <cell r="X210">
            <v>37.14</v>
          </cell>
          <cell r="Y210" t="str">
            <v>Senior Personnel</v>
          </cell>
        </row>
        <row r="211">
          <cell r="X211">
            <v>1910.7</v>
          </cell>
          <cell r="Y211" t="str">
            <v>OPS</v>
          </cell>
        </row>
        <row r="212">
          <cell r="X212">
            <v>1248.74</v>
          </cell>
          <cell r="Y212" t="str">
            <v>F&amp;A</v>
          </cell>
        </row>
        <row r="213">
          <cell r="X213">
            <v>10.28</v>
          </cell>
          <cell r="Y213" t="str">
            <v>Senior Personnel</v>
          </cell>
        </row>
        <row r="214">
          <cell r="X214">
            <v>29.38</v>
          </cell>
          <cell r="Y214" t="str">
            <v>OPS</v>
          </cell>
        </row>
        <row r="215">
          <cell r="X215">
            <v>4.83</v>
          </cell>
          <cell r="Y215" t="str">
            <v>F&amp;A</v>
          </cell>
        </row>
        <row r="216">
          <cell r="X216">
            <v>13.81</v>
          </cell>
          <cell r="Y216" t="str">
            <v>F&amp;A</v>
          </cell>
        </row>
        <row r="217">
          <cell r="X217">
            <v>645.70000000000005</v>
          </cell>
          <cell r="Y217" t="str">
            <v>Tuition</v>
          </cell>
        </row>
        <row r="218">
          <cell r="X218">
            <v>322.85000000000002</v>
          </cell>
          <cell r="Y218" t="str">
            <v>Tuition</v>
          </cell>
        </row>
        <row r="219">
          <cell r="X219">
            <v>658.66</v>
          </cell>
          <cell r="Y219" t="str">
            <v>Senior Personnel</v>
          </cell>
        </row>
        <row r="220">
          <cell r="X220">
            <v>40.840000000000003</v>
          </cell>
          <cell r="Y220" t="str">
            <v>Senior Personnel</v>
          </cell>
        </row>
        <row r="221">
          <cell r="X221">
            <v>9.5399999999999991</v>
          </cell>
          <cell r="Y221" t="str">
            <v>Senior Personnel</v>
          </cell>
        </row>
        <row r="222">
          <cell r="X222">
            <v>37.14</v>
          </cell>
          <cell r="Y222" t="str">
            <v>Senior Personnel</v>
          </cell>
        </row>
        <row r="223">
          <cell r="X223">
            <v>1634.96</v>
          </cell>
          <cell r="Y223" t="str">
            <v>OPS</v>
          </cell>
        </row>
        <row r="224">
          <cell r="X224">
            <v>1119.1300000000001</v>
          </cell>
          <cell r="Y224" t="str">
            <v>F&amp;A</v>
          </cell>
        </row>
        <row r="225">
          <cell r="X225">
            <v>23.68</v>
          </cell>
          <cell r="Y225" t="str">
            <v>Material and Supplies</v>
          </cell>
        </row>
        <row r="226">
          <cell r="X226">
            <v>11.13</v>
          </cell>
          <cell r="Y226" t="str">
            <v>F&amp;A</v>
          </cell>
        </row>
        <row r="227">
          <cell r="X227">
            <v>658.66</v>
          </cell>
          <cell r="Y227" t="str">
            <v>Senior Personnel</v>
          </cell>
        </row>
        <row r="228">
          <cell r="X228">
            <v>40.840000000000003</v>
          </cell>
          <cell r="Y228" t="str">
            <v>Senior Personnel</v>
          </cell>
        </row>
        <row r="229">
          <cell r="X229">
            <v>9.5500000000000007</v>
          </cell>
          <cell r="Y229" t="str">
            <v>Senior Personnel</v>
          </cell>
        </row>
        <row r="230">
          <cell r="X230">
            <v>37.14</v>
          </cell>
          <cell r="Y230" t="str">
            <v>Senior Personnel</v>
          </cell>
        </row>
        <row r="231">
          <cell r="X231">
            <v>350.96</v>
          </cell>
          <cell r="Y231" t="str">
            <v>OPS</v>
          </cell>
        </row>
        <row r="232">
          <cell r="X232">
            <v>248.58</v>
          </cell>
          <cell r="Y232" t="str">
            <v>Tuition</v>
          </cell>
        </row>
        <row r="233">
          <cell r="X233">
            <v>443.9</v>
          </cell>
          <cell r="Y233" t="str">
            <v>Tuition</v>
          </cell>
        </row>
        <row r="234">
          <cell r="X234">
            <v>515.66</v>
          </cell>
          <cell r="Y234" t="str">
            <v>F&amp;A</v>
          </cell>
        </row>
        <row r="235">
          <cell r="X235">
            <v>17.13</v>
          </cell>
          <cell r="Y235" t="str">
            <v>Senior Personnel</v>
          </cell>
        </row>
        <row r="236">
          <cell r="X236">
            <v>23.12</v>
          </cell>
          <cell r="Y236" t="str">
            <v>OPS</v>
          </cell>
        </row>
        <row r="237">
          <cell r="X237">
            <v>8.0500000000000007</v>
          </cell>
          <cell r="Y237" t="str">
            <v>F&amp;A</v>
          </cell>
        </row>
        <row r="238">
          <cell r="X238">
            <v>10.87</v>
          </cell>
          <cell r="Y238" t="str">
            <v>F&amp;A</v>
          </cell>
        </row>
        <row r="239">
          <cell r="X239">
            <v>658.66</v>
          </cell>
          <cell r="Y239" t="str">
            <v>Senior Personnel</v>
          </cell>
        </row>
        <row r="240">
          <cell r="X240">
            <v>40.840000000000003</v>
          </cell>
          <cell r="Y240" t="str">
            <v>Senior Personnel</v>
          </cell>
        </row>
        <row r="241">
          <cell r="X241">
            <v>9.5500000000000007</v>
          </cell>
          <cell r="Y241" t="str">
            <v>Senior Personnel</v>
          </cell>
        </row>
        <row r="242">
          <cell r="X242">
            <v>48.34</v>
          </cell>
          <cell r="Y242" t="str">
            <v>Senior Personnel</v>
          </cell>
        </row>
        <row r="243">
          <cell r="X243">
            <v>350.96</v>
          </cell>
          <cell r="Y243" t="str">
            <v>OPS</v>
          </cell>
        </row>
        <row r="244">
          <cell r="X244">
            <v>520.91999999999996</v>
          </cell>
          <cell r="Y244" t="str">
            <v>F&amp;A</v>
          </cell>
        </row>
        <row r="245">
          <cell r="X245">
            <v>300</v>
          </cell>
          <cell r="Y245" t="str">
            <v>Domestic Travel</v>
          </cell>
        </row>
        <row r="246">
          <cell r="X246">
            <v>141</v>
          </cell>
          <cell r="Y246" t="str">
            <v>F&amp;A</v>
          </cell>
        </row>
        <row r="247">
          <cell r="X247">
            <v>658.66</v>
          </cell>
          <cell r="Y247" t="str">
            <v>Senior Personnel</v>
          </cell>
        </row>
        <row r="248">
          <cell r="X248">
            <v>40.840000000000003</v>
          </cell>
          <cell r="Y248" t="str">
            <v>Senior Personnel</v>
          </cell>
        </row>
        <row r="249">
          <cell r="X249">
            <v>9.5500000000000007</v>
          </cell>
          <cell r="Y249" t="str">
            <v>Senior Personnel</v>
          </cell>
        </row>
        <row r="250">
          <cell r="X250">
            <v>48.34</v>
          </cell>
          <cell r="Y250" t="str">
            <v>Senior Personnel</v>
          </cell>
        </row>
        <row r="251">
          <cell r="X251">
            <v>350.96</v>
          </cell>
          <cell r="Y251" t="str">
            <v>OPS</v>
          </cell>
        </row>
        <row r="252">
          <cell r="X252">
            <v>27</v>
          </cell>
          <cell r="Y252" t="str">
            <v>Domestic Travel</v>
          </cell>
        </row>
        <row r="253">
          <cell r="X253">
            <v>428.6</v>
          </cell>
          <cell r="Y253" t="str">
            <v>Domestic Travel</v>
          </cell>
        </row>
        <row r="254">
          <cell r="X254">
            <v>248.43</v>
          </cell>
          <cell r="Y254" t="str">
            <v>Tuition</v>
          </cell>
        </row>
        <row r="255">
          <cell r="X255">
            <v>214.13</v>
          </cell>
          <cell r="Y255" t="str">
            <v>F&amp;A</v>
          </cell>
        </row>
        <row r="256">
          <cell r="X256">
            <v>520.91999999999996</v>
          </cell>
          <cell r="Y256" t="str">
            <v>F&amp;A</v>
          </cell>
        </row>
        <row r="257">
          <cell r="X257">
            <v>23.71</v>
          </cell>
          <cell r="Y257" t="str">
            <v>Senior Personnel</v>
          </cell>
        </row>
        <row r="258">
          <cell r="X258">
            <v>16.149999999999999</v>
          </cell>
          <cell r="Y258" t="str">
            <v>OPS</v>
          </cell>
        </row>
        <row r="259">
          <cell r="X259">
            <v>11.14</v>
          </cell>
          <cell r="Y259" t="str">
            <v>F&amp;A</v>
          </cell>
        </row>
        <row r="260">
          <cell r="X260">
            <v>7.59</v>
          </cell>
          <cell r="Y260" t="str">
            <v>F&amp;A</v>
          </cell>
        </row>
        <row r="261">
          <cell r="X261">
            <v>1648.33</v>
          </cell>
          <cell r="Y261" t="str">
            <v>Material and Supplies</v>
          </cell>
        </row>
        <row r="262">
          <cell r="X262">
            <v>774.72</v>
          </cell>
          <cell r="Y262" t="str">
            <v>F&amp;A</v>
          </cell>
        </row>
        <row r="263">
          <cell r="X263">
            <v>658.66</v>
          </cell>
          <cell r="Y263" t="str">
            <v>Senior Personnel</v>
          </cell>
        </row>
        <row r="264">
          <cell r="X264">
            <v>40.840000000000003</v>
          </cell>
          <cell r="Y264" t="str">
            <v>Senior Personnel</v>
          </cell>
        </row>
        <row r="265">
          <cell r="X265">
            <v>9.5500000000000007</v>
          </cell>
          <cell r="Y265" t="str">
            <v>Senior Personnel</v>
          </cell>
        </row>
        <row r="266">
          <cell r="X266">
            <v>48.34</v>
          </cell>
          <cell r="Y266" t="str">
            <v>Senior Personnel</v>
          </cell>
        </row>
        <row r="267">
          <cell r="X267">
            <v>350.96</v>
          </cell>
          <cell r="Y267" t="str">
            <v>OPS</v>
          </cell>
        </row>
        <row r="268">
          <cell r="X268">
            <v>520.91999999999996</v>
          </cell>
          <cell r="Y268" t="str">
            <v>F&amp;A</v>
          </cell>
        </row>
        <row r="269">
          <cell r="X269">
            <v>936.88</v>
          </cell>
          <cell r="Y269" t="str">
            <v>Material and Supplies</v>
          </cell>
        </row>
        <row r="270">
          <cell r="X270">
            <v>443.01</v>
          </cell>
          <cell r="Y270" t="str">
            <v>Material and Supplies</v>
          </cell>
        </row>
        <row r="271">
          <cell r="X271">
            <v>191.9</v>
          </cell>
          <cell r="Y271" t="str">
            <v>Material and Supplies</v>
          </cell>
        </row>
        <row r="272">
          <cell r="X272">
            <v>738.73</v>
          </cell>
          <cell r="Y272" t="str">
            <v>F&amp;A</v>
          </cell>
        </row>
        <row r="273">
          <cell r="X273">
            <v>-161.49</v>
          </cell>
          <cell r="Y273" t="str">
            <v>Tuition</v>
          </cell>
        </row>
        <row r="274">
          <cell r="X274">
            <v>-80.739999999999995</v>
          </cell>
          <cell r="Y274" t="str">
            <v>Tuition</v>
          </cell>
        </row>
        <row r="275">
          <cell r="X275">
            <v>-80.739999999999995</v>
          </cell>
          <cell r="Y275" t="str">
            <v>Tuition</v>
          </cell>
        </row>
        <row r="276">
          <cell r="X276">
            <v>-45.21</v>
          </cell>
          <cell r="Y276" t="str">
            <v>Tuition</v>
          </cell>
        </row>
        <row r="277">
          <cell r="X277">
            <v>-45.13</v>
          </cell>
          <cell r="Y277" t="str">
            <v>Tuition</v>
          </cell>
        </row>
        <row r="278">
          <cell r="X278">
            <v>135.53</v>
          </cell>
          <cell r="Y278" t="str">
            <v>Tuition</v>
          </cell>
        </row>
        <row r="279">
          <cell r="X279">
            <v>1039.3900000000001</v>
          </cell>
          <cell r="Y279" t="str">
            <v>Material and Supplies</v>
          </cell>
        </row>
        <row r="280">
          <cell r="X280">
            <v>488.51</v>
          </cell>
          <cell r="Y280" t="str">
            <v>F&amp;A</v>
          </cell>
        </row>
        <row r="281">
          <cell r="X281">
            <v>197.6</v>
          </cell>
          <cell r="Y281" t="str">
            <v>Senior Personnel</v>
          </cell>
        </row>
        <row r="282">
          <cell r="X282">
            <v>12.25</v>
          </cell>
          <cell r="Y282" t="str">
            <v>Senior Personnel</v>
          </cell>
        </row>
        <row r="283">
          <cell r="X283">
            <v>2.87</v>
          </cell>
          <cell r="Y283" t="str">
            <v>Senior Personnel</v>
          </cell>
        </row>
        <row r="284">
          <cell r="X284">
            <v>14.5</v>
          </cell>
          <cell r="Y284" t="str">
            <v>Senior Personnel</v>
          </cell>
        </row>
        <row r="285">
          <cell r="X285">
            <v>350.96</v>
          </cell>
          <cell r="Y285" t="str">
            <v>OPS</v>
          </cell>
        </row>
        <row r="286">
          <cell r="X286">
            <v>271.75</v>
          </cell>
          <cell r="Y286" t="str">
            <v>F&amp;A</v>
          </cell>
        </row>
        <row r="287">
          <cell r="X287">
            <v>12.16</v>
          </cell>
          <cell r="Y287" t="str">
            <v>Material and Supplies</v>
          </cell>
        </row>
        <row r="288">
          <cell r="X288">
            <v>225.69</v>
          </cell>
          <cell r="Y288" t="str">
            <v>Material and Supplies</v>
          </cell>
        </row>
        <row r="289">
          <cell r="X289">
            <v>111.79</v>
          </cell>
          <cell r="Y289" t="str">
            <v>F&amp;A</v>
          </cell>
        </row>
        <row r="290">
          <cell r="X290">
            <v>15.41</v>
          </cell>
          <cell r="Y290" t="str">
            <v>Senior Personnel</v>
          </cell>
        </row>
        <row r="291">
          <cell r="X291">
            <v>12.47</v>
          </cell>
          <cell r="Y291" t="str">
            <v>OPS</v>
          </cell>
        </row>
        <row r="292">
          <cell r="X292">
            <v>1273.8</v>
          </cell>
          <cell r="Y292" t="str">
            <v>OPS</v>
          </cell>
        </row>
        <row r="293">
          <cell r="X293">
            <v>605.92999999999995</v>
          </cell>
          <cell r="Y293" t="str">
            <v>F&amp;A</v>
          </cell>
        </row>
        <row r="294">
          <cell r="X294">
            <v>5.86</v>
          </cell>
          <cell r="Y294" t="str">
            <v>F&amp;A</v>
          </cell>
        </row>
        <row r="295">
          <cell r="X295">
            <v>1273.79</v>
          </cell>
          <cell r="Y295" t="str">
            <v>OPS</v>
          </cell>
        </row>
        <row r="296">
          <cell r="X296">
            <v>96.98</v>
          </cell>
          <cell r="Y296" t="str">
            <v>Material and Supplies</v>
          </cell>
        </row>
        <row r="297">
          <cell r="X297">
            <v>45.58</v>
          </cell>
          <cell r="Y297" t="str">
            <v>F&amp;A</v>
          </cell>
        </row>
        <row r="298">
          <cell r="X298">
            <v>598.67999999999995</v>
          </cell>
          <cell r="Y298" t="str">
            <v>F&amp;A</v>
          </cell>
        </row>
        <row r="299">
          <cell r="X299">
            <v>36</v>
          </cell>
          <cell r="Y299" t="str">
            <v>Domestic Travel</v>
          </cell>
        </row>
        <row r="300">
          <cell r="X300">
            <v>55</v>
          </cell>
          <cell r="Y300" t="str">
            <v>Domestic Travel</v>
          </cell>
        </row>
        <row r="301">
          <cell r="X301">
            <v>95</v>
          </cell>
          <cell r="Y301" t="str">
            <v>Domestic Travel</v>
          </cell>
        </row>
        <row r="302">
          <cell r="X302">
            <v>87.42</v>
          </cell>
          <cell r="Y302" t="str">
            <v>F&amp;A</v>
          </cell>
        </row>
        <row r="303">
          <cell r="X303">
            <v>1273.8</v>
          </cell>
          <cell r="Y303" t="str">
            <v>OPS</v>
          </cell>
        </row>
        <row r="304">
          <cell r="X304">
            <v>20.38</v>
          </cell>
          <cell r="Y304" t="str">
            <v>OPS</v>
          </cell>
        </row>
        <row r="305">
          <cell r="X305">
            <v>181.58</v>
          </cell>
          <cell r="Y305" t="str">
            <v>Tuition</v>
          </cell>
        </row>
        <row r="306">
          <cell r="X306">
            <v>453.95</v>
          </cell>
          <cell r="Y306" t="str">
            <v>Tuition</v>
          </cell>
        </row>
        <row r="307">
          <cell r="X307">
            <v>598.69000000000005</v>
          </cell>
          <cell r="Y307" t="str">
            <v>F&amp;A</v>
          </cell>
        </row>
        <row r="308">
          <cell r="X308">
            <v>139.53</v>
          </cell>
          <cell r="Y308" t="str">
            <v>Material and Supplies</v>
          </cell>
        </row>
        <row r="309">
          <cell r="X309">
            <v>65.58</v>
          </cell>
          <cell r="Y309" t="str">
            <v>F&amp;A</v>
          </cell>
        </row>
        <row r="310">
          <cell r="X310">
            <v>9.58</v>
          </cell>
          <cell r="Y310" t="str">
            <v>F&amp;A</v>
          </cell>
        </row>
        <row r="311">
          <cell r="X311">
            <v>-181.58</v>
          </cell>
          <cell r="Y311" t="str">
            <v>Tuition</v>
          </cell>
        </row>
        <row r="312">
          <cell r="X312">
            <v>-453.95</v>
          </cell>
          <cell r="Y312" t="str">
            <v>Tuition</v>
          </cell>
        </row>
        <row r="313">
          <cell r="X313">
            <v>181.58</v>
          </cell>
          <cell r="Y313" t="str">
            <v>Tuition</v>
          </cell>
        </row>
        <row r="314">
          <cell r="X314">
            <v>453.95</v>
          </cell>
          <cell r="Y314" t="str">
            <v>Tuition</v>
          </cell>
        </row>
        <row r="315">
          <cell r="X315">
            <v>108.2</v>
          </cell>
          <cell r="Y315" t="str">
            <v>Material and Supplies</v>
          </cell>
        </row>
        <row r="316">
          <cell r="X316">
            <v>453.95</v>
          </cell>
          <cell r="Y316" t="str">
            <v>Tuition</v>
          </cell>
        </row>
        <row r="317">
          <cell r="X317">
            <v>50.85</v>
          </cell>
          <cell r="Y317" t="str">
            <v>F&amp;A</v>
          </cell>
        </row>
        <row r="318">
          <cell r="X318">
            <v>1296.79</v>
          </cell>
          <cell r="Y318" t="str">
            <v>OPS</v>
          </cell>
        </row>
        <row r="319">
          <cell r="X319">
            <v>609.49</v>
          </cell>
          <cell r="Y319" t="str">
            <v>F&amp;A</v>
          </cell>
        </row>
        <row r="320">
          <cell r="X320">
            <v>453.95</v>
          </cell>
          <cell r="Y320" t="str">
            <v>Tuition</v>
          </cell>
        </row>
        <row r="321">
          <cell r="X321">
            <v>960.64</v>
          </cell>
          <cell r="Y321" t="str">
            <v>OPS</v>
          </cell>
        </row>
        <row r="322">
          <cell r="X322">
            <v>139.53</v>
          </cell>
          <cell r="Y322" t="str">
            <v>Material and Supplies</v>
          </cell>
        </row>
        <row r="323">
          <cell r="X323">
            <v>65.58</v>
          </cell>
          <cell r="Y323" t="str">
            <v>F&amp;A</v>
          </cell>
        </row>
        <row r="324">
          <cell r="X324">
            <v>451.5</v>
          </cell>
          <cell r="Y324" t="str">
            <v>F&amp;A</v>
          </cell>
        </row>
        <row r="325">
          <cell r="X325">
            <v>453.95</v>
          </cell>
          <cell r="Y325" t="str">
            <v>Tuition</v>
          </cell>
        </row>
        <row r="326">
          <cell r="X326">
            <v>28.25</v>
          </cell>
          <cell r="Y326" t="str">
            <v>OPS</v>
          </cell>
        </row>
        <row r="327">
          <cell r="X327">
            <v>13.28</v>
          </cell>
          <cell r="Y327" t="str">
            <v>F&amp;A</v>
          </cell>
        </row>
        <row r="328">
          <cell r="X328">
            <v>875.16</v>
          </cell>
          <cell r="Y328" t="str">
            <v>OPS</v>
          </cell>
        </row>
        <row r="329">
          <cell r="X329">
            <v>411.33</v>
          </cell>
          <cell r="Y329" t="str">
            <v>F&amp;A</v>
          </cell>
        </row>
        <row r="330">
          <cell r="X330">
            <v>453.95</v>
          </cell>
          <cell r="Y330" t="str">
            <v>Tuition</v>
          </cell>
        </row>
        <row r="331">
          <cell r="X331">
            <v>875.16</v>
          </cell>
          <cell r="Y331" t="str">
            <v>OPS</v>
          </cell>
        </row>
        <row r="332">
          <cell r="X332">
            <v>411.33</v>
          </cell>
          <cell r="Y332" t="str">
            <v>F&amp;A</v>
          </cell>
        </row>
        <row r="333">
          <cell r="X333">
            <v>1487.5</v>
          </cell>
          <cell r="Y333" t="str">
            <v>Publication Costs</v>
          </cell>
        </row>
        <row r="334">
          <cell r="X334">
            <v>699.13</v>
          </cell>
          <cell r="Y334" t="str">
            <v>F&amp;A</v>
          </cell>
        </row>
        <row r="335">
          <cell r="X335">
            <v>453.95</v>
          </cell>
          <cell r="Y335" t="str">
            <v>Tuition</v>
          </cell>
        </row>
        <row r="336">
          <cell r="X336">
            <v>14</v>
          </cell>
          <cell r="Y336" t="str">
            <v>OPS</v>
          </cell>
        </row>
        <row r="337">
          <cell r="X337">
            <v>6.58</v>
          </cell>
          <cell r="Y337" t="str">
            <v>F&amp;A</v>
          </cell>
        </row>
        <row r="338">
          <cell r="X338">
            <v>1729.92</v>
          </cell>
          <cell r="Y338" t="str">
            <v>OPS</v>
          </cell>
        </row>
        <row r="339">
          <cell r="X339">
            <v>813.06</v>
          </cell>
          <cell r="Y339" t="str">
            <v>F&amp;A</v>
          </cell>
        </row>
        <row r="340">
          <cell r="X340">
            <v>13.84</v>
          </cell>
          <cell r="Y340" t="str">
            <v>OPS</v>
          </cell>
        </row>
        <row r="341">
          <cell r="X341">
            <v>427.08</v>
          </cell>
          <cell r="Y341" t="str">
            <v>Tuition</v>
          </cell>
        </row>
        <row r="342">
          <cell r="X342">
            <v>427.08</v>
          </cell>
          <cell r="Y342" t="str">
            <v>Tuition</v>
          </cell>
        </row>
        <row r="343">
          <cell r="X343">
            <v>1729.92</v>
          </cell>
          <cell r="Y343" t="str">
            <v>OPS</v>
          </cell>
        </row>
        <row r="344">
          <cell r="X344">
            <v>813.06</v>
          </cell>
          <cell r="Y344" t="str">
            <v>F&amp;A</v>
          </cell>
        </row>
        <row r="345">
          <cell r="X345">
            <v>1729.92</v>
          </cell>
          <cell r="Y345" t="str">
            <v>OPS</v>
          </cell>
        </row>
        <row r="346">
          <cell r="X346">
            <v>813.06</v>
          </cell>
          <cell r="Y346" t="str">
            <v>F&amp;A</v>
          </cell>
        </row>
        <row r="347">
          <cell r="X347">
            <v>27.68</v>
          </cell>
          <cell r="Y347" t="str">
            <v>OPS</v>
          </cell>
        </row>
        <row r="348">
          <cell r="X348">
            <v>-427.08</v>
          </cell>
          <cell r="Y348" t="str">
            <v>Tuition</v>
          </cell>
        </row>
        <row r="349">
          <cell r="X349">
            <v>-427.08</v>
          </cell>
          <cell r="Y349" t="str">
            <v>Tuition</v>
          </cell>
        </row>
        <row r="350">
          <cell r="X350">
            <v>19.510000000000002</v>
          </cell>
          <cell r="Y350" t="str">
            <v>F&amp;A</v>
          </cell>
        </row>
        <row r="351">
          <cell r="X351">
            <v>1388.02</v>
          </cell>
          <cell r="Y351" t="str">
            <v>OPS</v>
          </cell>
        </row>
        <row r="352">
          <cell r="X352">
            <v>652.37</v>
          </cell>
          <cell r="Y352" t="str">
            <v>F&amp;A</v>
          </cell>
        </row>
        <row r="353">
          <cell r="X353">
            <v>1665</v>
          </cell>
          <cell r="Y353" t="str">
            <v>Other</v>
          </cell>
        </row>
        <row r="354">
          <cell r="X354">
            <v>782.55</v>
          </cell>
          <cell r="Y354" t="str">
            <v>F&amp;A</v>
          </cell>
        </row>
        <row r="355">
          <cell r="X355">
            <v>875.16</v>
          </cell>
          <cell r="Y355" t="str">
            <v>OPS</v>
          </cell>
        </row>
        <row r="356">
          <cell r="X356">
            <v>411.33</v>
          </cell>
          <cell r="Y356" t="str">
            <v>F&amp;A</v>
          </cell>
        </row>
        <row r="357">
          <cell r="X357">
            <v>18.11</v>
          </cell>
          <cell r="Y357" t="str">
            <v>OPS</v>
          </cell>
        </row>
        <row r="358">
          <cell r="X358">
            <v>875.16</v>
          </cell>
          <cell r="Y358" t="str">
            <v>OPS</v>
          </cell>
        </row>
        <row r="359">
          <cell r="X359">
            <v>8.51</v>
          </cell>
          <cell r="Y359" t="str">
            <v>F&amp;A</v>
          </cell>
        </row>
        <row r="360">
          <cell r="X360">
            <v>411.33</v>
          </cell>
          <cell r="Y360" t="str">
            <v>F&amp;A</v>
          </cell>
        </row>
        <row r="361">
          <cell r="X361">
            <v>875.16</v>
          </cell>
          <cell r="Y361" t="str">
            <v>OPS</v>
          </cell>
        </row>
        <row r="362">
          <cell r="X362">
            <v>411.33</v>
          </cell>
          <cell r="Y362" t="str">
            <v>F&amp;A</v>
          </cell>
        </row>
        <row r="363">
          <cell r="X363">
            <v>201.75</v>
          </cell>
          <cell r="Y363" t="str">
            <v>Tuition</v>
          </cell>
        </row>
        <row r="364">
          <cell r="X364">
            <v>201.75</v>
          </cell>
          <cell r="Y364" t="str">
            <v>Tuition</v>
          </cell>
        </row>
        <row r="365">
          <cell r="X365">
            <v>181.58</v>
          </cell>
          <cell r="Y365" t="str">
            <v>Tuition</v>
          </cell>
        </row>
        <row r="366">
          <cell r="X366">
            <v>201.75</v>
          </cell>
          <cell r="Y366" t="str">
            <v>Tuition</v>
          </cell>
        </row>
        <row r="367">
          <cell r="X367">
            <v>201.75</v>
          </cell>
          <cell r="Y367" t="str">
            <v>Tuition</v>
          </cell>
        </row>
        <row r="368">
          <cell r="X368">
            <v>1.75</v>
          </cell>
          <cell r="Y368" t="str">
            <v>OPS</v>
          </cell>
        </row>
        <row r="369">
          <cell r="X369">
            <v>0.82</v>
          </cell>
          <cell r="Y369" t="str">
            <v>F&amp;A</v>
          </cell>
        </row>
        <row r="370">
          <cell r="X370">
            <v>875.16</v>
          </cell>
          <cell r="Y370" t="str">
            <v>OPS</v>
          </cell>
        </row>
        <row r="371">
          <cell r="X371">
            <v>411.33</v>
          </cell>
          <cell r="Y371" t="str">
            <v>F&amp;A</v>
          </cell>
        </row>
        <row r="372">
          <cell r="X372">
            <v>-201.75</v>
          </cell>
          <cell r="Y372" t="str">
            <v>Tuition</v>
          </cell>
        </row>
        <row r="373">
          <cell r="X373">
            <v>-201.75</v>
          </cell>
          <cell r="Y373" t="str">
            <v>Tuition</v>
          </cell>
        </row>
        <row r="374">
          <cell r="X374">
            <v>-181.58</v>
          </cell>
          <cell r="Y374" t="str">
            <v>Tuition</v>
          </cell>
        </row>
        <row r="375">
          <cell r="X375">
            <v>-201.75</v>
          </cell>
          <cell r="Y375" t="str">
            <v>Tuition</v>
          </cell>
        </row>
        <row r="376">
          <cell r="X376">
            <v>-201.75</v>
          </cell>
          <cell r="Y376" t="str">
            <v>Tuition</v>
          </cell>
        </row>
        <row r="377">
          <cell r="X377">
            <v>201.73</v>
          </cell>
          <cell r="Y377" t="str">
            <v>Tuition</v>
          </cell>
        </row>
        <row r="378">
          <cell r="X378">
            <v>201.76</v>
          </cell>
          <cell r="Y378" t="str">
            <v>Tuition</v>
          </cell>
        </row>
        <row r="379">
          <cell r="X379">
            <v>201.76</v>
          </cell>
          <cell r="Y379" t="str">
            <v>Tuition</v>
          </cell>
        </row>
        <row r="380">
          <cell r="X380">
            <v>181.58</v>
          </cell>
          <cell r="Y380" t="str">
            <v>Tuition</v>
          </cell>
        </row>
        <row r="381">
          <cell r="X381">
            <v>201.76</v>
          </cell>
          <cell r="Y381" t="str">
            <v>Tuition</v>
          </cell>
        </row>
        <row r="382">
          <cell r="X382">
            <v>201.79</v>
          </cell>
          <cell r="Y382" t="str">
            <v>Tuition</v>
          </cell>
        </row>
        <row r="383">
          <cell r="X383">
            <v>0.88</v>
          </cell>
          <cell r="Y383" t="str">
            <v>OPS</v>
          </cell>
        </row>
        <row r="384">
          <cell r="X384">
            <v>1621.8</v>
          </cell>
          <cell r="Y384" t="str">
            <v>OPS</v>
          </cell>
        </row>
        <row r="385">
          <cell r="X385">
            <v>762.25</v>
          </cell>
          <cell r="Y385" t="str">
            <v>F&amp;A</v>
          </cell>
        </row>
        <row r="386">
          <cell r="X386">
            <v>0.41</v>
          </cell>
          <cell r="Y386" t="str">
            <v>F&amp;A</v>
          </cell>
        </row>
        <row r="387">
          <cell r="X387">
            <v>1704.76</v>
          </cell>
          <cell r="Y387" t="str">
            <v>OPS</v>
          </cell>
        </row>
        <row r="388">
          <cell r="X388">
            <v>801.24</v>
          </cell>
          <cell r="Y388" t="str">
            <v>F&amp;A</v>
          </cell>
        </row>
        <row r="389">
          <cell r="X389">
            <v>1704.76</v>
          </cell>
          <cell r="Y389" t="str">
            <v>OPS</v>
          </cell>
        </row>
        <row r="390">
          <cell r="X390">
            <v>173.2</v>
          </cell>
          <cell r="Y390" t="str">
            <v>OPS</v>
          </cell>
        </row>
        <row r="391">
          <cell r="X391">
            <v>5.03</v>
          </cell>
          <cell r="Y391" t="str">
            <v>OPS</v>
          </cell>
        </row>
        <row r="392">
          <cell r="X392">
            <v>801.24</v>
          </cell>
          <cell r="Y392" t="str">
            <v>F&amp;A</v>
          </cell>
        </row>
        <row r="393">
          <cell r="X393">
            <v>2.36</v>
          </cell>
          <cell r="Y393" t="str">
            <v>F&amp;A</v>
          </cell>
        </row>
        <row r="394">
          <cell r="X394">
            <v>42.99</v>
          </cell>
          <cell r="Y394" t="str">
            <v>Material and Supplies</v>
          </cell>
        </row>
        <row r="395">
          <cell r="X395">
            <v>1514.35</v>
          </cell>
          <cell r="Y395" t="str">
            <v>Material and Supplies</v>
          </cell>
        </row>
        <row r="396">
          <cell r="X396">
            <v>587.34</v>
          </cell>
          <cell r="Y396" t="str">
            <v>Material and Supplies</v>
          </cell>
        </row>
        <row r="397">
          <cell r="X397">
            <v>1008</v>
          </cell>
          <cell r="Y397" t="str">
            <v>F&amp;A</v>
          </cell>
        </row>
        <row r="398">
          <cell r="X398">
            <v>1704.76</v>
          </cell>
          <cell r="Y398" t="str">
            <v>OPS</v>
          </cell>
        </row>
        <row r="399">
          <cell r="X399">
            <v>173.2</v>
          </cell>
          <cell r="Y399" t="str">
            <v>OPS</v>
          </cell>
        </row>
        <row r="400">
          <cell r="X400">
            <v>964.04</v>
          </cell>
          <cell r="Y400" t="str">
            <v>F&amp;A</v>
          </cell>
        </row>
        <row r="401">
          <cell r="X401">
            <v>11</v>
          </cell>
          <cell r="Y401" t="str">
            <v>Domestic Travel</v>
          </cell>
        </row>
        <row r="402">
          <cell r="X402">
            <v>38</v>
          </cell>
          <cell r="Y402" t="str">
            <v>Domestic Travel</v>
          </cell>
        </row>
        <row r="403">
          <cell r="X403">
            <v>33</v>
          </cell>
          <cell r="Y403" t="str">
            <v>Domestic Travel</v>
          </cell>
        </row>
        <row r="404">
          <cell r="X404">
            <v>38.54</v>
          </cell>
          <cell r="Y404" t="str">
            <v>F&amp;A</v>
          </cell>
        </row>
        <row r="405">
          <cell r="X405">
            <v>1704.76</v>
          </cell>
          <cell r="Y405" t="str">
            <v>OPS</v>
          </cell>
        </row>
        <row r="406">
          <cell r="X406">
            <v>801.24</v>
          </cell>
          <cell r="Y406" t="str">
            <v>F&amp;A</v>
          </cell>
        </row>
        <row r="407">
          <cell r="X407">
            <v>3.41</v>
          </cell>
          <cell r="Y407" t="str">
            <v>OPS</v>
          </cell>
        </row>
        <row r="408">
          <cell r="X408">
            <v>117.25</v>
          </cell>
          <cell r="Y408" t="str">
            <v>Domestic Travel</v>
          </cell>
        </row>
        <row r="409">
          <cell r="X409">
            <v>27</v>
          </cell>
          <cell r="Y409" t="str">
            <v>Domestic Travel</v>
          </cell>
        </row>
        <row r="410">
          <cell r="X410">
            <v>493.2</v>
          </cell>
          <cell r="Y410" t="str">
            <v>Domestic Travel</v>
          </cell>
        </row>
        <row r="411">
          <cell r="X411">
            <v>299.60000000000002</v>
          </cell>
          <cell r="Y411" t="str">
            <v>F&amp;A</v>
          </cell>
        </row>
        <row r="412">
          <cell r="X412">
            <v>1.6</v>
          </cell>
          <cell r="Y412" t="str">
            <v>F&amp;A</v>
          </cell>
        </row>
        <row r="413">
          <cell r="X413">
            <v>1704.76</v>
          </cell>
          <cell r="Y413" t="str">
            <v>OPS</v>
          </cell>
        </row>
        <row r="414">
          <cell r="X414">
            <v>173.2</v>
          </cell>
          <cell r="Y414" t="str">
            <v>OPS</v>
          </cell>
        </row>
        <row r="415">
          <cell r="X415">
            <v>882.64</v>
          </cell>
          <cell r="Y415" t="str">
            <v>F&amp;A</v>
          </cell>
        </row>
        <row r="416">
          <cell r="X416">
            <v>181.56</v>
          </cell>
          <cell r="Y416" t="str">
            <v>Tuition</v>
          </cell>
        </row>
        <row r="417">
          <cell r="X417">
            <v>454</v>
          </cell>
          <cell r="Y417" t="str">
            <v>Tuition</v>
          </cell>
        </row>
        <row r="418">
          <cell r="X418">
            <v>453.9</v>
          </cell>
          <cell r="Y418" t="str">
            <v>Tuition</v>
          </cell>
        </row>
        <row r="419">
          <cell r="X419">
            <v>453.9</v>
          </cell>
          <cell r="Y419" t="str">
            <v>Tuition</v>
          </cell>
        </row>
        <row r="420">
          <cell r="X420">
            <v>453.9</v>
          </cell>
          <cell r="Y420" t="str">
            <v>Tuition</v>
          </cell>
        </row>
        <row r="421">
          <cell r="X421">
            <v>453.95</v>
          </cell>
          <cell r="Y421" t="str">
            <v>Tuition</v>
          </cell>
        </row>
        <row r="422">
          <cell r="X422">
            <v>181.56</v>
          </cell>
          <cell r="Y422" t="str">
            <v>Tuition</v>
          </cell>
        </row>
        <row r="423">
          <cell r="X423">
            <v>454</v>
          </cell>
          <cell r="Y423" t="str">
            <v>Tuition</v>
          </cell>
        </row>
        <row r="424">
          <cell r="X424">
            <v>453.9</v>
          </cell>
          <cell r="Y424" t="str">
            <v>Tuition</v>
          </cell>
        </row>
        <row r="425">
          <cell r="X425">
            <v>453.9</v>
          </cell>
          <cell r="Y425" t="str">
            <v>Tuition</v>
          </cell>
        </row>
        <row r="426">
          <cell r="X426">
            <v>453.9</v>
          </cell>
          <cell r="Y426" t="str">
            <v>Tuition</v>
          </cell>
        </row>
        <row r="427">
          <cell r="X427">
            <v>453.95</v>
          </cell>
          <cell r="Y427" t="str">
            <v>Tuition</v>
          </cell>
        </row>
        <row r="428">
          <cell r="X428">
            <v>365</v>
          </cell>
          <cell r="Y428" t="str">
            <v>Domestic Travel</v>
          </cell>
        </row>
        <row r="429">
          <cell r="X429">
            <v>171.55</v>
          </cell>
          <cell r="Y429" t="str">
            <v>F&amp;A</v>
          </cell>
        </row>
        <row r="430">
          <cell r="X430">
            <v>1704.76</v>
          </cell>
          <cell r="Y430" t="str">
            <v>OPS</v>
          </cell>
        </row>
        <row r="431">
          <cell r="X431">
            <v>173.2</v>
          </cell>
          <cell r="Y431" t="str">
            <v>OPS</v>
          </cell>
        </row>
        <row r="432">
          <cell r="X432">
            <v>882.64</v>
          </cell>
          <cell r="Y432" t="str">
            <v>F&amp;A</v>
          </cell>
        </row>
        <row r="433">
          <cell r="X433">
            <v>144.22</v>
          </cell>
          <cell r="Y433" t="str">
            <v>Domestic Travel</v>
          </cell>
        </row>
        <row r="434">
          <cell r="X434">
            <v>399.83</v>
          </cell>
          <cell r="Y434" t="str">
            <v>Domestic Travel</v>
          </cell>
        </row>
        <row r="435">
          <cell r="X435">
            <v>889.07</v>
          </cell>
          <cell r="Y435" t="str">
            <v>Material and Supplies</v>
          </cell>
        </row>
        <row r="436">
          <cell r="X436">
            <v>673.56</v>
          </cell>
          <cell r="Y436" t="str">
            <v>F&amp;A</v>
          </cell>
        </row>
        <row r="437">
          <cell r="X437">
            <v>3.41</v>
          </cell>
          <cell r="Y437" t="str">
            <v>OPS</v>
          </cell>
        </row>
        <row r="438">
          <cell r="X438">
            <v>1.6</v>
          </cell>
          <cell r="Y438" t="str">
            <v>F&amp;A</v>
          </cell>
        </row>
        <row r="439">
          <cell r="X439">
            <v>117.25</v>
          </cell>
          <cell r="Y439" t="str">
            <v>Domestic Travel</v>
          </cell>
        </row>
        <row r="440">
          <cell r="X440">
            <v>68.39</v>
          </cell>
          <cell r="Y440" t="str">
            <v>Material and Supplies</v>
          </cell>
        </row>
        <row r="441">
          <cell r="X441">
            <v>703.6</v>
          </cell>
          <cell r="Y441" t="str">
            <v>Material and Supplies</v>
          </cell>
        </row>
        <row r="442">
          <cell r="X442">
            <v>188.6</v>
          </cell>
          <cell r="Y442" t="str">
            <v>Material and Supplies</v>
          </cell>
        </row>
        <row r="443">
          <cell r="X443">
            <v>309.95</v>
          </cell>
          <cell r="Y443" t="str">
            <v>Material and Supplies</v>
          </cell>
        </row>
        <row r="444">
          <cell r="X444">
            <v>652.26</v>
          </cell>
          <cell r="Y444" t="str">
            <v>F&amp;A</v>
          </cell>
        </row>
        <row r="445">
          <cell r="X445">
            <v>24</v>
          </cell>
          <cell r="Y445" t="str">
            <v>Domestic Travel</v>
          </cell>
        </row>
        <row r="446">
          <cell r="X446">
            <v>33</v>
          </cell>
          <cell r="Y446" t="str">
            <v>Domestic Travel</v>
          </cell>
        </row>
        <row r="447">
          <cell r="X447">
            <v>117.83</v>
          </cell>
          <cell r="Y447" t="str">
            <v>Domestic Travel</v>
          </cell>
        </row>
        <row r="448">
          <cell r="X448">
            <v>95</v>
          </cell>
          <cell r="Y448" t="str">
            <v>Domestic Travel</v>
          </cell>
        </row>
        <row r="449">
          <cell r="X449">
            <v>233.91</v>
          </cell>
          <cell r="Y449" t="str">
            <v>Domestic Travel</v>
          </cell>
        </row>
        <row r="450">
          <cell r="X450">
            <v>236.76</v>
          </cell>
          <cell r="Y450" t="str">
            <v>F&amp;A</v>
          </cell>
        </row>
        <row r="451">
          <cell r="X451">
            <v>453.95</v>
          </cell>
          <cell r="Y451" t="str">
            <v>Tuition</v>
          </cell>
        </row>
        <row r="452">
          <cell r="X452">
            <v>453.95</v>
          </cell>
          <cell r="Y452" t="str">
            <v>Tuition</v>
          </cell>
        </row>
        <row r="453">
          <cell r="X453">
            <v>1755.9</v>
          </cell>
          <cell r="Y453" t="str">
            <v>OPS</v>
          </cell>
        </row>
        <row r="454">
          <cell r="X454">
            <v>173.2</v>
          </cell>
          <cell r="Y454" t="str">
            <v>OPS</v>
          </cell>
        </row>
        <row r="455">
          <cell r="X455">
            <v>1059.0899999999999</v>
          </cell>
          <cell r="Y455" t="str">
            <v>Material and Supplies</v>
          </cell>
        </row>
        <row r="456">
          <cell r="X456">
            <v>160.6</v>
          </cell>
          <cell r="Y456" t="str">
            <v>Material and Supplies</v>
          </cell>
        </row>
        <row r="457">
          <cell r="X457">
            <v>573.25</v>
          </cell>
          <cell r="Y457" t="str">
            <v>F&amp;A</v>
          </cell>
        </row>
        <row r="458">
          <cell r="X458">
            <v>906.67</v>
          </cell>
          <cell r="Y458" t="str">
            <v>F&amp;A</v>
          </cell>
        </row>
        <row r="459">
          <cell r="X459">
            <v>453.95</v>
          </cell>
          <cell r="Y459" t="str">
            <v>Tuition</v>
          </cell>
        </row>
        <row r="460">
          <cell r="X460">
            <v>453.95</v>
          </cell>
          <cell r="Y460" t="str">
            <v>Tuition</v>
          </cell>
        </row>
        <row r="461">
          <cell r="X461">
            <v>173.01</v>
          </cell>
          <cell r="Y461" t="str">
            <v>Material and Supplies</v>
          </cell>
        </row>
        <row r="462">
          <cell r="X462">
            <v>1.73</v>
          </cell>
          <cell r="Y462" t="str">
            <v>Material and Supplies</v>
          </cell>
        </row>
        <row r="463">
          <cell r="X463">
            <v>82.12</v>
          </cell>
          <cell r="Y463" t="str">
            <v>F&amp;A</v>
          </cell>
        </row>
        <row r="464">
          <cell r="X464">
            <v>1755.9</v>
          </cell>
          <cell r="Y464" t="str">
            <v>OPS</v>
          </cell>
        </row>
        <row r="465">
          <cell r="X465">
            <v>825.27</v>
          </cell>
          <cell r="Y465" t="str">
            <v>F&amp;A</v>
          </cell>
        </row>
        <row r="466">
          <cell r="X466">
            <v>188.6</v>
          </cell>
          <cell r="Y466" t="str">
            <v>Material and Supplies</v>
          </cell>
        </row>
        <row r="467">
          <cell r="X467">
            <v>187.59</v>
          </cell>
          <cell r="Y467" t="str">
            <v>Material and Supplies</v>
          </cell>
        </row>
        <row r="468">
          <cell r="X468">
            <v>262.33999999999997</v>
          </cell>
          <cell r="Y468" t="str">
            <v>Material and Supplies</v>
          </cell>
        </row>
        <row r="469">
          <cell r="X469">
            <v>160.91999999999999</v>
          </cell>
          <cell r="Y469" t="str">
            <v>Material and Supplies</v>
          </cell>
        </row>
        <row r="470">
          <cell r="X470">
            <v>375.74</v>
          </cell>
          <cell r="Y470" t="str">
            <v>F&amp;A</v>
          </cell>
        </row>
        <row r="471">
          <cell r="X471">
            <v>3.51</v>
          </cell>
          <cell r="Y471" t="str">
            <v>OPS</v>
          </cell>
        </row>
        <row r="472">
          <cell r="X472">
            <v>272.48</v>
          </cell>
          <cell r="Y472" t="str">
            <v>Tuition</v>
          </cell>
        </row>
        <row r="473">
          <cell r="X473">
            <v>272.48</v>
          </cell>
          <cell r="Y473" t="str">
            <v>Tuition</v>
          </cell>
        </row>
        <row r="474">
          <cell r="X474">
            <v>1.65</v>
          </cell>
          <cell r="Y474" t="str">
            <v>F&amp;A</v>
          </cell>
        </row>
        <row r="475">
          <cell r="X475">
            <v>1755.9</v>
          </cell>
          <cell r="Y475" t="str">
            <v>OPS</v>
          </cell>
        </row>
        <row r="476">
          <cell r="X476">
            <v>825.27</v>
          </cell>
          <cell r="Y476" t="str">
            <v>F&amp;A</v>
          </cell>
        </row>
        <row r="477">
          <cell r="X477">
            <v>525</v>
          </cell>
          <cell r="Y477" t="str">
            <v>Domestic Travel</v>
          </cell>
        </row>
        <row r="478">
          <cell r="X478">
            <v>246.75</v>
          </cell>
          <cell r="Y478" t="str">
            <v>F&amp;A</v>
          </cell>
        </row>
        <row r="479">
          <cell r="X479">
            <v>1755.9</v>
          </cell>
          <cell r="Y479" t="str">
            <v>OPS</v>
          </cell>
        </row>
        <row r="480">
          <cell r="X480">
            <v>825.27</v>
          </cell>
          <cell r="Y480" t="str">
            <v>F&amp;A</v>
          </cell>
        </row>
        <row r="481">
          <cell r="X481">
            <v>3.51</v>
          </cell>
          <cell r="Y481" t="str">
            <v>OPS</v>
          </cell>
        </row>
        <row r="482">
          <cell r="X482">
            <v>2558.6999999999998</v>
          </cell>
          <cell r="Y482" t="str">
            <v>OPS</v>
          </cell>
        </row>
        <row r="483">
          <cell r="X483">
            <v>1.65</v>
          </cell>
          <cell r="Y483" t="str">
            <v>F&amp;A</v>
          </cell>
        </row>
        <row r="484">
          <cell r="X484">
            <v>1202.5899999999999</v>
          </cell>
          <cell r="Y484" t="str">
            <v>F&amp;A</v>
          </cell>
        </row>
        <row r="485">
          <cell r="X485">
            <v>306.25</v>
          </cell>
          <cell r="Y485" t="str">
            <v>Tuition</v>
          </cell>
        </row>
        <row r="486">
          <cell r="X486">
            <v>437.5</v>
          </cell>
          <cell r="Y486" t="str">
            <v>Tuition</v>
          </cell>
        </row>
        <row r="487">
          <cell r="X487">
            <v>306.25</v>
          </cell>
          <cell r="Y487" t="str">
            <v>Tuition</v>
          </cell>
        </row>
        <row r="488">
          <cell r="X488">
            <v>437.5</v>
          </cell>
          <cell r="Y488" t="str">
            <v>Tuition</v>
          </cell>
        </row>
        <row r="489">
          <cell r="X489">
            <v>2398.19</v>
          </cell>
          <cell r="Y489" t="str">
            <v>OPS</v>
          </cell>
        </row>
        <row r="490">
          <cell r="X490">
            <v>448.14</v>
          </cell>
          <cell r="Y490" t="str">
            <v>OPS</v>
          </cell>
        </row>
        <row r="491">
          <cell r="X491">
            <v>810</v>
          </cell>
          <cell r="Y491" t="str">
            <v>Material and Supplies</v>
          </cell>
        </row>
        <row r="492">
          <cell r="X492">
            <v>380.7</v>
          </cell>
          <cell r="Y492" t="str">
            <v>F&amp;A</v>
          </cell>
        </row>
        <row r="493">
          <cell r="X493">
            <v>1337.78</v>
          </cell>
          <cell r="Y493" t="str">
            <v>F&amp;A</v>
          </cell>
        </row>
        <row r="494">
          <cell r="X494">
            <v>437.61</v>
          </cell>
          <cell r="Y494" t="str">
            <v>Tuition</v>
          </cell>
        </row>
        <row r="495">
          <cell r="X495">
            <v>437.61</v>
          </cell>
          <cell r="Y495" t="str">
            <v>Tuition</v>
          </cell>
        </row>
        <row r="496">
          <cell r="X496">
            <v>4.96</v>
          </cell>
          <cell r="Y496" t="str">
            <v>OPS</v>
          </cell>
        </row>
        <row r="497">
          <cell r="X497">
            <v>2378.48</v>
          </cell>
          <cell r="Y497" t="str">
            <v>OPS</v>
          </cell>
        </row>
        <row r="498">
          <cell r="X498">
            <v>448.14</v>
          </cell>
          <cell r="Y498" t="str">
            <v>OPS</v>
          </cell>
        </row>
        <row r="499">
          <cell r="X499">
            <v>27</v>
          </cell>
          <cell r="Y499" t="str">
            <v>Domestic Travel</v>
          </cell>
        </row>
        <row r="500">
          <cell r="X500">
            <v>373.71</v>
          </cell>
          <cell r="Y500" t="str">
            <v>Domestic Travel</v>
          </cell>
        </row>
        <row r="501">
          <cell r="X501">
            <v>2.33</v>
          </cell>
          <cell r="Y501" t="str">
            <v>F&amp;A</v>
          </cell>
        </row>
        <row r="502">
          <cell r="X502">
            <v>188.33</v>
          </cell>
          <cell r="Y502" t="str">
            <v>F&amp;A</v>
          </cell>
        </row>
        <row r="503">
          <cell r="X503">
            <v>1328.52</v>
          </cell>
          <cell r="Y503" t="str">
            <v>F&amp;A</v>
          </cell>
        </row>
        <row r="504">
          <cell r="X504">
            <v>400</v>
          </cell>
          <cell r="Y504" t="str">
            <v>Domestic Travel</v>
          </cell>
        </row>
        <row r="505">
          <cell r="X505">
            <v>188</v>
          </cell>
          <cell r="Y505" t="str">
            <v>F&amp;A</v>
          </cell>
        </row>
        <row r="506">
          <cell r="X506">
            <v>437.61</v>
          </cell>
          <cell r="Y506" t="str">
            <v>Tuition</v>
          </cell>
        </row>
        <row r="507">
          <cell r="X507">
            <v>437.61</v>
          </cell>
          <cell r="Y507" t="str">
            <v>Tuition</v>
          </cell>
        </row>
        <row r="508">
          <cell r="X508">
            <v>2378.48</v>
          </cell>
          <cell r="Y508" t="str">
            <v>OPS</v>
          </cell>
        </row>
        <row r="509">
          <cell r="X509">
            <v>448.14</v>
          </cell>
          <cell r="Y509" t="str">
            <v>OPS</v>
          </cell>
        </row>
        <row r="510">
          <cell r="X510">
            <v>1328.52</v>
          </cell>
          <cell r="Y510" t="str">
            <v>F&amp;A</v>
          </cell>
        </row>
        <row r="511">
          <cell r="X511">
            <v>437.61</v>
          </cell>
          <cell r="Y511" t="str">
            <v>Tuition</v>
          </cell>
        </row>
        <row r="512">
          <cell r="X512">
            <v>437.61</v>
          </cell>
          <cell r="Y512" t="str">
            <v>Tuition</v>
          </cell>
        </row>
        <row r="513">
          <cell r="X513">
            <v>2378.48</v>
          </cell>
          <cell r="Y513" t="str">
            <v>OPS</v>
          </cell>
        </row>
        <row r="514">
          <cell r="X514">
            <v>448.14</v>
          </cell>
          <cell r="Y514" t="str">
            <v>OPS</v>
          </cell>
        </row>
        <row r="515">
          <cell r="X515">
            <v>44</v>
          </cell>
          <cell r="Y515" t="str">
            <v>Domestic Travel</v>
          </cell>
        </row>
        <row r="516">
          <cell r="X516">
            <v>1.78</v>
          </cell>
          <cell r="Y516" t="str">
            <v>Domestic Travel</v>
          </cell>
        </row>
        <row r="517">
          <cell r="X517">
            <v>7.57</v>
          </cell>
          <cell r="Y517" t="str">
            <v>Domestic Travel</v>
          </cell>
        </row>
        <row r="518">
          <cell r="X518">
            <v>653.46</v>
          </cell>
          <cell r="Y518" t="str">
            <v>Domestic Travel</v>
          </cell>
        </row>
        <row r="519">
          <cell r="X519">
            <v>22</v>
          </cell>
          <cell r="Y519" t="str">
            <v>Domestic Travel</v>
          </cell>
        </row>
        <row r="520">
          <cell r="X520">
            <v>57</v>
          </cell>
          <cell r="Y520" t="str">
            <v>Domestic Travel</v>
          </cell>
        </row>
        <row r="521">
          <cell r="X521">
            <v>80</v>
          </cell>
          <cell r="Y521" t="str">
            <v>Domestic Travel</v>
          </cell>
        </row>
        <row r="522">
          <cell r="X522">
            <v>7.14</v>
          </cell>
          <cell r="Y522" t="str">
            <v>OPS</v>
          </cell>
        </row>
        <row r="523">
          <cell r="X523">
            <v>437.61</v>
          </cell>
          <cell r="Y523" t="str">
            <v>Tuition</v>
          </cell>
        </row>
        <row r="524">
          <cell r="X524">
            <v>437.61</v>
          </cell>
          <cell r="Y524" t="str">
            <v>Tuition</v>
          </cell>
        </row>
        <row r="525">
          <cell r="X525">
            <v>406.94</v>
          </cell>
          <cell r="Y525" t="str">
            <v>F&amp;A</v>
          </cell>
        </row>
        <row r="526">
          <cell r="X526">
            <v>1328.52</v>
          </cell>
          <cell r="Y526" t="str">
            <v>F&amp;A</v>
          </cell>
        </row>
        <row r="527">
          <cell r="X527">
            <v>3.36</v>
          </cell>
          <cell r="Y527" t="str">
            <v>F&amp;A</v>
          </cell>
        </row>
        <row r="528">
          <cell r="X528">
            <v>2378.48</v>
          </cell>
          <cell r="Y528" t="str">
            <v>OPS</v>
          </cell>
        </row>
        <row r="529">
          <cell r="X529">
            <v>448.14</v>
          </cell>
          <cell r="Y529" t="str">
            <v>OPS</v>
          </cell>
        </row>
        <row r="530">
          <cell r="X530">
            <v>1328.52</v>
          </cell>
          <cell r="Y530" t="str">
            <v>F&amp;A</v>
          </cell>
        </row>
        <row r="531">
          <cell r="X531">
            <v>825.2</v>
          </cell>
          <cell r="Y531" t="str">
            <v>Domestic Travel</v>
          </cell>
        </row>
        <row r="532">
          <cell r="X532">
            <v>30.59</v>
          </cell>
          <cell r="Y532" t="str">
            <v>Tuition</v>
          </cell>
        </row>
        <row r="533">
          <cell r="X533">
            <v>43.8</v>
          </cell>
          <cell r="Y533" t="str">
            <v>Tuition</v>
          </cell>
        </row>
        <row r="534">
          <cell r="X534">
            <v>43.8</v>
          </cell>
          <cell r="Y534" t="str">
            <v>Tuition</v>
          </cell>
        </row>
        <row r="535">
          <cell r="X535">
            <v>43.8</v>
          </cell>
          <cell r="Y535" t="str">
            <v>Tuition</v>
          </cell>
        </row>
        <row r="536">
          <cell r="X536">
            <v>43.8</v>
          </cell>
          <cell r="Y536" t="str">
            <v>Tuition</v>
          </cell>
        </row>
        <row r="537">
          <cell r="X537">
            <v>43.8</v>
          </cell>
          <cell r="Y537" t="str">
            <v>Tuition</v>
          </cell>
        </row>
        <row r="538">
          <cell r="X538">
            <v>43.76</v>
          </cell>
          <cell r="Y538" t="str">
            <v>Tuition</v>
          </cell>
        </row>
        <row r="539">
          <cell r="X539">
            <v>306.25</v>
          </cell>
          <cell r="Y539" t="str">
            <v>Tuition</v>
          </cell>
        </row>
        <row r="540">
          <cell r="X540">
            <v>-306.25</v>
          </cell>
          <cell r="Y540" t="str">
            <v>Tuition</v>
          </cell>
        </row>
        <row r="541">
          <cell r="X541">
            <v>437.5</v>
          </cell>
          <cell r="Y541" t="str">
            <v>Tuition</v>
          </cell>
        </row>
        <row r="542">
          <cell r="X542">
            <v>-437.5</v>
          </cell>
          <cell r="Y542" t="str">
            <v>Tuition</v>
          </cell>
        </row>
        <row r="543">
          <cell r="X543">
            <v>437.6</v>
          </cell>
          <cell r="Y543" t="str">
            <v>Tuition</v>
          </cell>
        </row>
        <row r="544">
          <cell r="X544">
            <v>-437.61</v>
          </cell>
          <cell r="Y544" t="str">
            <v>Tuition</v>
          </cell>
        </row>
        <row r="545">
          <cell r="X545">
            <v>437.6</v>
          </cell>
          <cell r="Y545" t="str">
            <v>Tuition</v>
          </cell>
        </row>
        <row r="546">
          <cell r="X546">
            <v>-437.61</v>
          </cell>
          <cell r="Y546" t="str">
            <v>Tuition</v>
          </cell>
        </row>
        <row r="547">
          <cell r="X547">
            <v>437.6</v>
          </cell>
          <cell r="Y547" t="str">
            <v>Tuition</v>
          </cell>
        </row>
        <row r="548">
          <cell r="X548">
            <v>-437.61</v>
          </cell>
          <cell r="Y548" t="str">
            <v>Tuition</v>
          </cell>
        </row>
        <row r="549">
          <cell r="X549">
            <v>437.6</v>
          </cell>
          <cell r="Y549" t="str">
            <v>Tuition</v>
          </cell>
        </row>
        <row r="550">
          <cell r="X550">
            <v>-437.61</v>
          </cell>
          <cell r="Y550" t="str">
            <v>Tuition</v>
          </cell>
        </row>
        <row r="551">
          <cell r="X551">
            <v>437.61</v>
          </cell>
          <cell r="Y551" t="str">
            <v>Tuition</v>
          </cell>
        </row>
        <row r="552">
          <cell r="X552">
            <v>306.25</v>
          </cell>
          <cell r="Y552" t="str">
            <v>Tuition</v>
          </cell>
        </row>
        <row r="553">
          <cell r="X553">
            <v>-306.25</v>
          </cell>
          <cell r="Y553" t="str">
            <v>Tuition</v>
          </cell>
        </row>
        <row r="554">
          <cell r="X554">
            <v>437.5</v>
          </cell>
          <cell r="Y554" t="str">
            <v>Tuition</v>
          </cell>
        </row>
        <row r="555">
          <cell r="X555">
            <v>-437.5</v>
          </cell>
          <cell r="Y555" t="str">
            <v>Tuition</v>
          </cell>
        </row>
        <row r="556">
          <cell r="X556">
            <v>437.6</v>
          </cell>
          <cell r="Y556" t="str">
            <v>Tuition</v>
          </cell>
        </row>
        <row r="557">
          <cell r="X557">
            <v>-437.61</v>
          </cell>
          <cell r="Y557" t="str">
            <v>Tuition</v>
          </cell>
        </row>
        <row r="558">
          <cell r="X558">
            <v>437.6</v>
          </cell>
          <cell r="Y558" t="str">
            <v>Tuition</v>
          </cell>
        </row>
        <row r="559">
          <cell r="X559">
            <v>-437.61</v>
          </cell>
          <cell r="Y559" t="str">
            <v>Tuition</v>
          </cell>
        </row>
        <row r="560">
          <cell r="X560">
            <v>437.6</v>
          </cell>
          <cell r="Y560" t="str">
            <v>Tuition</v>
          </cell>
        </row>
        <row r="561">
          <cell r="X561">
            <v>-437.61</v>
          </cell>
          <cell r="Y561" t="str">
            <v>Tuition</v>
          </cell>
        </row>
        <row r="562">
          <cell r="X562">
            <v>437.6</v>
          </cell>
          <cell r="Y562" t="str">
            <v>Tuition</v>
          </cell>
        </row>
        <row r="563">
          <cell r="X563">
            <v>-437.61</v>
          </cell>
          <cell r="Y563" t="str">
            <v>Tuition</v>
          </cell>
        </row>
        <row r="564">
          <cell r="X564">
            <v>437.61</v>
          </cell>
          <cell r="Y564" t="str">
            <v>Tuition</v>
          </cell>
        </row>
        <row r="565">
          <cell r="X565">
            <v>387.84</v>
          </cell>
          <cell r="Y565" t="str">
            <v>F&amp;A</v>
          </cell>
        </row>
        <row r="566">
          <cell r="X566">
            <v>149.13</v>
          </cell>
          <cell r="Y566" t="str">
            <v>Material and Supplies</v>
          </cell>
        </row>
        <row r="567">
          <cell r="X567">
            <v>70.09</v>
          </cell>
          <cell r="Y567" t="str">
            <v>F&amp;A</v>
          </cell>
        </row>
        <row r="568">
          <cell r="X568">
            <v>24</v>
          </cell>
          <cell r="Y568" t="str">
            <v>Domestic Travel</v>
          </cell>
        </row>
        <row r="569">
          <cell r="X569">
            <v>55</v>
          </cell>
          <cell r="Y569" t="str">
            <v>Domestic Travel</v>
          </cell>
        </row>
        <row r="570">
          <cell r="X570">
            <v>95</v>
          </cell>
          <cell r="Y570" t="str">
            <v>Domestic Travel</v>
          </cell>
        </row>
        <row r="571">
          <cell r="X571">
            <v>60</v>
          </cell>
          <cell r="Y571" t="str">
            <v>Domestic Travel</v>
          </cell>
        </row>
        <row r="572">
          <cell r="X572">
            <v>109.98</v>
          </cell>
          <cell r="Y572" t="str">
            <v>F&amp;A</v>
          </cell>
        </row>
        <row r="573">
          <cell r="X573">
            <v>25</v>
          </cell>
          <cell r="Y573" t="str">
            <v>Domestic Travel</v>
          </cell>
        </row>
        <row r="574">
          <cell r="X574">
            <v>11.75</v>
          </cell>
          <cell r="Y574" t="str">
            <v>F&amp;A</v>
          </cell>
        </row>
        <row r="575">
          <cell r="X575">
            <v>2378.48</v>
          </cell>
          <cell r="Y575" t="str">
            <v>OPS</v>
          </cell>
        </row>
        <row r="576">
          <cell r="X576">
            <v>43.76</v>
          </cell>
          <cell r="Y576" t="str">
            <v>Tuition</v>
          </cell>
        </row>
        <row r="577">
          <cell r="X577">
            <v>437.61</v>
          </cell>
          <cell r="Y577" t="str">
            <v>Tuition</v>
          </cell>
        </row>
        <row r="578">
          <cell r="X578">
            <v>437.61</v>
          </cell>
          <cell r="Y578" t="str">
            <v>Tuition</v>
          </cell>
        </row>
        <row r="579">
          <cell r="X579">
            <v>1117.8900000000001</v>
          </cell>
          <cell r="Y579" t="str">
            <v>F&amp;A</v>
          </cell>
        </row>
        <row r="580">
          <cell r="X580">
            <v>4.76</v>
          </cell>
          <cell r="Y580" t="str">
            <v>OPS</v>
          </cell>
        </row>
        <row r="581">
          <cell r="X581">
            <v>2.2400000000000002</v>
          </cell>
          <cell r="Y581" t="str">
            <v>F&amp;A</v>
          </cell>
        </row>
        <row r="582">
          <cell r="X582">
            <v>2566.88</v>
          </cell>
          <cell r="Y582" t="str">
            <v>OPS</v>
          </cell>
        </row>
        <row r="583">
          <cell r="X583">
            <v>287.06</v>
          </cell>
          <cell r="Y583" t="str">
            <v>Material and Supplies</v>
          </cell>
        </row>
        <row r="584">
          <cell r="X584">
            <v>47.39</v>
          </cell>
          <cell r="Y584" t="str">
            <v>Material and Supplies</v>
          </cell>
        </row>
        <row r="585">
          <cell r="X585">
            <v>71.540000000000006</v>
          </cell>
          <cell r="Y585" t="str">
            <v>Material and Supplies</v>
          </cell>
        </row>
        <row r="586">
          <cell r="X586">
            <v>190.81</v>
          </cell>
          <cell r="Y586" t="str">
            <v>F&amp;A</v>
          </cell>
        </row>
        <row r="587">
          <cell r="X587">
            <v>1206.43</v>
          </cell>
          <cell r="Y587" t="str">
            <v>F&amp;A</v>
          </cell>
        </row>
        <row r="588">
          <cell r="X588">
            <v>2107.37</v>
          </cell>
          <cell r="Y588" t="str">
            <v>Senior Personnel</v>
          </cell>
        </row>
        <row r="589">
          <cell r="X589">
            <v>130.65</v>
          </cell>
          <cell r="Y589" t="str">
            <v>Senior Personnel</v>
          </cell>
        </row>
        <row r="590">
          <cell r="X590">
            <v>30.56</v>
          </cell>
          <cell r="Y590" t="str">
            <v>Senior Personnel</v>
          </cell>
        </row>
        <row r="591">
          <cell r="X591">
            <v>162.06</v>
          </cell>
          <cell r="Y591" t="str">
            <v>Senior Personnel</v>
          </cell>
        </row>
        <row r="592">
          <cell r="X592">
            <v>1382.48</v>
          </cell>
          <cell r="Y592" t="str">
            <v>OPS</v>
          </cell>
        </row>
        <row r="593">
          <cell r="X593">
            <v>7.66</v>
          </cell>
          <cell r="Y593" t="str">
            <v>OPS</v>
          </cell>
        </row>
        <row r="594">
          <cell r="X594">
            <v>306.25</v>
          </cell>
          <cell r="Y594" t="str">
            <v>Tuition</v>
          </cell>
        </row>
        <row r="595">
          <cell r="X595">
            <v>0.02</v>
          </cell>
          <cell r="Y595" t="str">
            <v>Tuition</v>
          </cell>
        </row>
        <row r="596">
          <cell r="X596">
            <v>-437.61</v>
          </cell>
          <cell r="Y596" t="str">
            <v>Tuition</v>
          </cell>
        </row>
        <row r="597">
          <cell r="X597">
            <v>437.6</v>
          </cell>
          <cell r="Y597" t="str">
            <v>Tuition</v>
          </cell>
        </row>
        <row r="598">
          <cell r="X598">
            <v>-437.61</v>
          </cell>
          <cell r="Y598" t="str">
            <v>Tuition</v>
          </cell>
        </row>
        <row r="599">
          <cell r="X599">
            <v>437.6</v>
          </cell>
          <cell r="Y599" t="str">
            <v>Tuition</v>
          </cell>
        </row>
        <row r="600">
          <cell r="X600">
            <v>-437.6</v>
          </cell>
          <cell r="Y600" t="str">
            <v>Tuition</v>
          </cell>
        </row>
        <row r="601">
          <cell r="X601">
            <v>437.6</v>
          </cell>
          <cell r="Y601" t="str">
            <v>Tuition</v>
          </cell>
        </row>
        <row r="602">
          <cell r="X602">
            <v>-437.6</v>
          </cell>
          <cell r="Y602" t="str">
            <v>Tuition</v>
          </cell>
        </row>
        <row r="603">
          <cell r="X603">
            <v>437.6</v>
          </cell>
          <cell r="Y603" t="str">
            <v>Tuition</v>
          </cell>
        </row>
        <row r="604">
          <cell r="X604">
            <v>-437.6</v>
          </cell>
          <cell r="Y604" t="str">
            <v>Tuition</v>
          </cell>
        </row>
        <row r="605">
          <cell r="X605">
            <v>437.6</v>
          </cell>
          <cell r="Y605" t="str">
            <v>Tuition</v>
          </cell>
        </row>
        <row r="606">
          <cell r="X606">
            <v>-437.6</v>
          </cell>
          <cell r="Y606" t="str">
            <v>Tuition</v>
          </cell>
        </row>
        <row r="607">
          <cell r="X607">
            <v>437.6</v>
          </cell>
          <cell r="Y607" t="str">
            <v>Tuition</v>
          </cell>
        </row>
        <row r="608">
          <cell r="X608">
            <v>-437.5</v>
          </cell>
          <cell r="Y608" t="str">
            <v>Tuition</v>
          </cell>
        </row>
        <row r="609">
          <cell r="X609">
            <v>437.5</v>
          </cell>
          <cell r="Y609" t="str">
            <v>Tuition</v>
          </cell>
        </row>
        <row r="610">
          <cell r="X610">
            <v>-306.25</v>
          </cell>
          <cell r="Y610" t="str">
            <v>Tuition</v>
          </cell>
        </row>
        <row r="611">
          <cell r="X611">
            <v>0.02</v>
          </cell>
          <cell r="Y611" t="str">
            <v>Tuition</v>
          </cell>
        </row>
        <row r="612">
          <cell r="X612">
            <v>-437.61</v>
          </cell>
          <cell r="Y612" t="str">
            <v>Tuition</v>
          </cell>
        </row>
        <row r="613">
          <cell r="X613">
            <v>437.6</v>
          </cell>
          <cell r="Y613" t="str">
            <v>Tuition</v>
          </cell>
        </row>
        <row r="614">
          <cell r="X614">
            <v>-437.61</v>
          </cell>
          <cell r="Y614" t="str">
            <v>Tuition</v>
          </cell>
        </row>
        <row r="615">
          <cell r="X615">
            <v>437.6</v>
          </cell>
          <cell r="Y615" t="str">
            <v>Tuition</v>
          </cell>
        </row>
        <row r="616">
          <cell r="X616">
            <v>-437.6</v>
          </cell>
          <cell r="Y616" t="str">
            <v>Tuition</v>
          </cell>
        </row>
        <row r="617">
          <cell r="X617">
            <v>437.6</v>
          </cell>
          <cell r="Y617" t="str">
            <v>Tuition</v>
          </cell>
        </row>
        <row r="618">
          <cell r="X618">
            <v>-437.5</v>
          </cell>
          <cell r="Y618" t="str">
            <v>Tuition</v>
          </cell>
        </row>
        <row r="619">
          <cell r="X619">
            <v>437.5</v>
          </cell>
          <cell r="Y619" t="str">
            <v>Tuition</v>
          </cell>
        </row>
        <row r="620">
          <cell r="X620">
            <v>-306.25</v>
          </cell>
          <cell r="Y620" t="str">
            <v>Tuition</v>
          </cell>
        </row>
        <row r="621">
          <cell r="X621">
            <v>306.25</v>
          </cell>
          <cell r="Y621" t="str">
            <v>Tuition</v>
          </cell>
        </row>
        <row r="622">
          <cell r="X622">
            <v>-437.6</v>
          </cell>
          <cell r="Y622" t="str">
            <v>Tuition</v>
          </cell>
        </row>
        <row r="623">
          <cell r="X623">
            <v>437.6</v>
          </cell>
          <cell r="Y623" t="str">
            <v>Tuition</v>
          </cell>
        </row>
        <row r="624">
          <cell r="X624">
            <v>-437.6</v>
          </cell>
          <cell r="Y624" t="str">
            <v>Tuition</v>
          </cell>
        </row>
        <row r="625">
          <cell r="X625">
            <v>437.6</v>
          </cell>
          <cell r="Y625" t="str">
            <v>Tuition</v>
          </cell>
        </row>
        <row r="626">
          <cell r="X626">
            <v>-437.6</v>
          </cell>
          <cell r="Y626" t="str">
            <v>Tuition</v>
          </cell>
        </row>
        <row r="627">
          <cell r="X627">
            <v>437.6</v>
          </cell>
          <cell r="Y627" t="str">
            <v>Tuition</v>
          </cell>
        </row>
        <row r="628">
          <cell r="X628">
            <v>-43.76</v>
          </cell>
          <cell r="Y628" t="str">
            <v>Tuition</v>
          </cell>
        </row>
        <row r="629">
          <cell r="X629">
            <v>43.8</v>
          </cell>
          <cell r="Y629" t="str">
            <v>Tuition</v>
          </cell>
        </row>
        <row r="630">
          <cell r="X630">
            <v>-43.8</v>
          </cell>
          <cell r="Y630" t="str">
            <v>Tuition</v>
          </cell>
        </row>
        <row r="631">
          <cell r="X631">
            <v>43.8</v>
          </cell>
          <cell r="Y631" t="str">
            <v>Tuition</v>
          </cell>
        </row>
        <row r="632">
          <cell r="X632">
            <v>-43.8</v>
          </cell>
          <cell r="Y632" t="str">
            <v>Tuition</v>
          </cell>
        </row>
        <row r="633">
          <cell r="X633">
            <v>43.8</v>
          </cell>
          <cell r="Y633" t="str">
            <v>Tuition</v>
          </cell>
        </row>
        <row r="634">
          <cell r="X634">
            <v>-43.8</v>
          </cell>
          <cell r="Y634" t="str">
            <v>Tuition</v>
          </cell>
        </row>
        <row r="635">
          <cell r="X635">
            <v>43.8</v>
          </cell>
          <cell r="Y635" t="str">
            <v>Tuition</v>
          </cell>
        </row>
        <row r="636">
          <cell r="X636">
            <v>-43.8</v>
          </cell>
          <cell r="Y636" t="str">
            <v>Tuition</v>
          </cell>
        </row>
        <row r="637">
          <cell r="X637">
            <v>43.8</v>
          </cell>
          <cell r="Y637" t="str">
            <v>Tuition</v>
          </cell>
        </row>
        <row r="638">
          <cell r="X638">
            <v>-43.8</v>
          </cell>
          <cell r="Y638" t="str">
            <v>Tuition</v>
          </cell>
        </row>
        <row r="639">
          <cell r="X639">
            <v>43.8</v>
          </cell>
          <cell r="Y639" t="str">
            <v>Tuition</v>
          </cell>
        </row>
        <row r="640">
          <cell r="X640">
            <v>-30.59</v>
          </cell>
          <cell r="Y640" t="str">
            <v>Tuition</v>
          </cell>
        </row>
        <row r="641">
          <cell r="X641">
            <v>30.59</v>
          </cell>
          <cell r="Y641" t="str">
            <v>Tuition</v>
          </cell>
        </row>
        <row r="642">
          <cell r="X642">
            <v>-0.08</v>
          </cell>
          <cell r="Y642" t="str">
            <v>Tuition</v>
          </cell>
        </row>
        <row r="643">
          <cell r="X643">
            <v>-43.76</v>
          </cell>
          <cell r="Y643" t="str">
            <v>Tuition</v>
          </cell>
        </row>
        <row r="644">
          <cell r="X644">
            <v>43.8</v>
          </cell>
          <cell r="Y644" t="str">
            <v>Tuition</v>
          </cell>
        </row>
        <row r="645">
          <cell r="X645">
            <v>1795.77</v>
          </cell>
          <cell r="Y645" t="str">
            <v>F&amp;A</v>
          </cell>
        </row>
        <row r="646">
          <cell r="X646">
            <v>25.29</v>
          </cell>
          <cell r="Y646" t="str">
            <v>Senior Personnel</v>
          </cell>
        </row>
        <row r="647">
          <cell r="X647">
            <v>6.06</v>
          </cell>
          <cell r="Y647" t="str">
            <v>OPS</v>
          </cell>
        </row>
        <row r="648">
          <cell r="X648">
            <v>2.85</v>
          </cell>
          <cell r="Y648" t="str">
            <v>F&amp;A</v>
          </cell>
        </row>
        <row r="649">
          <cell r="X649">
            <v>11.89</v>
          </cell>
          <cell r="Y649" t="str">
            <v>F&amp;A</v>
          </cell>
        </row>
        <row r="650">
          <cell r="X650">
            <v>2341.52</v>
          </cell>
          <cell r="Y650" t="str">
            <v>Senior Personnel</v>
          </cell>
        </row>
        <row r="651">
          <cell r="X651">
            <v>145.18</v>
          </cell>
          <cell r="Y651" t="str">
            <v>Senior Personnel</v>
          </cell>
        </row>
        <row r="652">
          <cell r="X652">
            <v>33.96</v>
          </cell>
          <cell r="Y652" t="str">
            <v>Senior Personnel</v>
          </cell>
        </row>
        <row r="653">
          <cell r="X653">
            <v>180.07</v>
          </cell>
          <cell r="Y653" t="str">
            <v>Senior Personnel</v>
          </cell>
        </row>
        <row r="654">
          <cell r="X654">
            <v>800.1</v>
          </cell>
          <cell r="Y654" t="str">
            <v>OPS</v>
          </cell>
        </row>
        <row r="655">
          <cell r="X655">
            <v>1645.38</v>
          </cell>
          <cell r="Y655" t="str">
            <v>F&amp;A</v>
          </cell>
        </row>
        <row r="656">
          <cell r="X656">
            <v>306.25</v>
          </cell>
          <cell r="Y656" t="str">
            <v>Tuition</v>
          </cell>
        </row>
        <row r="657">
          <cell r="X657">
            <v>-306.25</v>
          </cell>
          <cell r="Y657" t="str">
            <v>Tuition</v>
          </cell>
        </row>
        <row r="658">
          <cell r="X658">
            <v>437.5</v>
          </cell>
          <cell r="Y658" t="str">
            <v>Tuition</v>
          </cell>
        </row>
        <row r="659">
          <cell r="X659">
            <v>-437.5</v>
          </cell>
          <cell r="Y659" t="str">
            <v>Tuition</v>
          </cell>
        </row>
        <row r="660">
          <cell r="X660">
            <v>437.6</v>
          </cell>
          <cell r="Y660" t="str">
            <v>Tuition</v>
          </cell>
        </row>
        <row r="661">
          <cell r="X661">
            <v>-437.6</v>
          </cell>
          <cell r="Y661" t="str">
            <v>Tuition</v>
          </cell>
        </row>
        <row r="662">
          <cell r="X662">
            <v>437.6</v>
          </cell>
          <cell r="Y662" t="str">
            <v>Tuition</v>
          </cell>
        </row>
        <row r="663">
          <cell r="X663">
            <v>-437.6</v>
          </cell>
          <cell r="Y663" t="str">
            <v>Tuition</v>
          </cell>
        </row>
        <row r="664">
          <cell r="X664">
            <v>437.6</v>
          </cell>
          <cell r="Y664" t="str">
            <v>Tuition</v>
          </cell>
        </row>
        <row r="665">
          <cell r="X665">
            <v>-437.6</v>
          </cell>
          <cell r="Y665" t="str">
            <v>Tuition</v>
          </cell>
        </row>
        <row r="666">
          <cell r="X666">
            <v>437.6</v>
          </cell>
          <cell r="Y666" t="str">
            <v>Tuition</v>
          </cell>
        </row>
        <row r="667">
          <cell r="X667">
            <v>-437.6</v>
          </cell>
          <cell r="Y667" t="str">
            <v>Tuition</v>
          </cell>
        </row>
        <row r="668">
          <cell r="X668">
            <v>437.6</v>
          </cell>
          <cell r="Y668" t="str">
            <v>Tuition</v>
          </cell>
        </row>
        <row r="669">
          <cell r="X669">
            <v>-437.61</v>
          </cell>
          <cell r="Y669" t="str">
            <v>Tuition</v>
          </cell>
        </row>
        <row r="670">
          <cell r="X670">
            <v>437.6</v>
          </cell>
          <cell r="Y670" t="str">
            <v>Tuition</v>
          </cell>
        </row>
        <row r="671">
          <cell r="X671">
            <v>-437.61</v>
          </cell>
          <cell r="Y671" t="str">
            <v>Tuition</v>
          </cell>
        </row>
        <row r="672">
          <cell r="X672">
            <v>262.24</v>
          </cell>
          <cell r="Y672" t="str">
            <v>Tuition</v>
          </cell>
        </row>
        <row r="673">
          <cell r="X673">
            <v>30.59</v>
          </cell>
          <cell r="Y673" t="str">
            <v>Tuition</v>
          </cell>
        </row>
        <row r="674">
          <cell r="X674">
            <v>-30.59</v>
          </cell>
          <cell r="Y674" t="str">
            <v>Tuition</v>
          </cell>
        </row>
        <row r="675">
          <cell r="X675">
            <v>43.8</v>
          </cell>
          <cell r="Y675" t="str">
            <v>Tuition</v>
          </cell>
        </row>
        <row r="676">
          <cell r="X676">
            <v>-43.8</v>
          </cell>
          <cell r="Y676" t="str">
            <v>Tuition</v>
          </cell>
        </row>
        <row r="677">
          <cell r="X677">
            <v>43.8</v>
          </cell>
          <cell r="Y677" t="str">
            <v>Tuition</v>
          </cell>
        </row>
        <row r="678">
          <cell r="X678">
            <v>-43.8</v>
          </cell>
          <cell r="Y678" t="str">
            <v>Tuition</v>
          </cell>
        </row>
        <row r="679">
          <cell r="X679">
            <v>43.8</v>
          </cell>
          <cell r="Y679" t="str">
            <v>Tuition</v>
          </cell>
        </row>
        <row r="680">
          <cell r="X680">
            <v>-43.8</v>
          </cell>
          <cell r="Y680" t="str">
            <v>Tuition</v>
          </cell>
        </row>
        <row r="681">
          <cell r="X681">
            <v>43.8</v>
          </cell>
          <cell r="Y681" t="str">
            <v>Tuition</v>
          </cell>
        </row>
        <row r="682">
          <cell r="X682">
            <v>-43.8</v>
          </cell>
          <cell r="Y682" t="str">
            <v>Tuition</v>
          </cell>
        </row>
        <row r="683">
          <cell r="X683">
            <v>43.8</v>
          </cell>
          <cell r="Y683" t="str">
            <v>Tuition</v>
          </cell>
        </row>
        <row r="684">
          <cell r="X684">
            <v>-43.8</v>
          </cell>
          <cell r="Y684" t="str">
            <v>Tuition</v>
          </cell>
        </row>
        <row r="685">
          <cell r="X685">
            <v>43.8</v>
          </cell>
          <cell r="Y685" t="str">
            <v>Tuition</v>
          </cell>
        </row>
        <row r="686">
          <cell r="X686">
            <v>-43.76</v>
          </cell>
          <cell r="Y686" t="str">
            <v>Tuition</v>
          </cell>
        </row>
        <row r="687">
          <cell r="X687">
            <v>43.8</v>
          </cell>
          <cell r="Y687" t="str">
            <v>Tuition</v>
          </cell>
        </row>
        <row r="688">
          <cell r="X688">
            <v>-43.76</v>
          </cell>
          <cell r="Y688" t="str">
            <v>Tuition</v>
          </cell>
        </row>
        <row r="689">
          <cell r="X689">
            <v>4.37</v>
          </cell>
          <cell r="Y689" t="str">
            <v>Tuition</v>
          </cell>
        </row>
        <row r="690">
          <cell r="X690">
            <v>-437.6</v>
          </cell>
          <cell r="Y690" t="str">
            <v>Tuition</v>
          </cell>
        </row>
        <row r="691">
          <cell r="X691">
            <v>437.6</v>
          </cell>
          <cell r="Y691" t="str">
            <v>Tuition</v>
          </cell>
        </row>
        <row r="692">
          <cell r="X692">
            <v>-437.6</v>
          </cell>
          <cell r="Y692" t="str">
            <v>Tuition</v>
          </cell>
        </row>
        <row r="693">
          <cell r="X693">
            <v>437.6</v>
          </cell>
          <cell r="Y693" t="str">
            <v>Tuition</v>
          </cell>
        </row>
        <row r="694">
          <cell r="X694">
            <v>-437.6</v>
          </cell>
          <cell r="Y694" t="str">
            <v>Tuition</v>
          </cell>
        </row>
        <row r="695">
          <cell r="X695">
            <v>437.6</v>
          </cell>
          <cell r="Y695" t="str">
            <v>Tuition</v>
          </cell>
        </row>
        <row r="696">
          <cell r="X696">
            <v>-437.61</v>
          </cell>
          <cell r="Y696" t="str">
            <v>Tuition</v>
          </cell>
        </row>
        <row r="697">
          <cell r="X697">
            <v>437.6</v>
          </cell>
          <cell r="Y697" t="str">
            <v>Tuition</v>
          </cell>
        </row>
        <row r="698">
          <cell r="X698">
            <v>-437.61</v>
          </cell>
          <cell r="Y698" t="str">
            <v>Tuition</v>
          </cell>
        </row>
        <row r="699">
          <cell r="X699">
            <v>262.24</v>
          </cell>
          <cell r="Y699" t="str">
            <v>Tuition</v>
          </cell>
        </row>
        <row r="700">
          <cell r="X700">
            <v>306.25</v>
          </cell>
          <cell r="Y700" t="str">
            <v>Tuition</v>
          </cell>
        </row>
        <row r="701">
          <cell r="X701">
            <v>-306.25</v>
          </cell>
          <cell r="Y701" t="str">
            <v>Tuition</v>
          </cell>
        </row>
        <row r="702">
          <cell r="X702">
            <v>437.5</v>
          </cell>
          <cell r="Y702" t="str">
            <v>Tuition</v>
          </cell>
        </row>
        <row r="703">
          <cell r="X703">
            <v>-437.5</v>
          </cell>
          <cell r="Y703" t="str">
            <v>Tuition</v>
          </cell>
        </row>
        <row r="704">
          <cell r="X704">
            <v>437.6</v>
          </cell>
          <cell r="Y704" t="str">
            <v>Tuition</v>
          </cell>
        </row>
        <row r="705">
          <cell r="X705">
            <v>-437.6</v>
          </cell>
          <cell r="Y705" t="str">
            <v>Tuition</v>
          </cell>
        </row>
        <row r="706">
          <cell r="X706">
            <v>437.6</v>
          </cell>
          <cell r="Y706" t="str">
            <v>Tuition</v>
          </cell>
        </row>
        <row r="707">
          <cell r="X707">
            <v>468.3</v>
          </cell>
          <cell r="Y707" t="str">
            <v>Senior Personnel</v>
          </cell>
        </row>
        <row r="708">
          <cell r="X708">
            <v>29.03</v>
          </cell>
          <cell r="Y708" t="str">
            <v>Senior Personnel</v>
          </cell>
        </row>
        <row r="709">
          <cell r="X709">
            <v>6.79</v>
          </cell>
          <cell r="Y709" t="str">
            <v>Senior Personnel</v>
          </cell>
        </row>
        <row r="710">
          <cell r="X710">
            <v>36.01</v>
          </cell>
          <cell r="Y710" t="str">
            <v>Senior Personnel</v>
          </cell>
        </row>
        <row r="711">
          <cell r="X711">
            <v>-8686.89</v>
          </cell>
          <cell r="Y711" t="str">
            <v>OPS</v>
          </cell>
        </row>
        <row r="712">
          <cell r="X712">
            <v>-1237.72</v>
          </cell>
          <cell r="Y712" t="str">
            <v>OPS</v>
          </cell>
        </row>
        <row r="713">
          <cell r="X713">
            <v>-4410.72</v>
          </cell>
          <cell r="Y713" t="str">
            <v>F&amp;A</v>
          </cell>
        </row>
        <row r="714">
          <cell r="X714">
            <v>33.72</v>
          </cell>
          <cell r="Y714" t="str">
            <v>Senior Personnel</v>
          </cell>
        </row>
        <row r="715">
          <cell r="X715">
            <v>-5.08</v>
          </cell>
          <cell r="Y715" t="str">
            <v>OPS</v>
          </cell>
        </row>
        <row r="716">
          <cell r="X716">
            <v>-2.39</v>
          </cell>
          <cell r="Y716" t="str">
            <v>F&amp;A</v>
          </cell>
        </row>
        <row r="717">
          <cell r="X717">
            <v>15.85</v>
          </cell>
          <cell r="Y717" t="str">
            <v>F&amp;A</v>
          </cell>
        </row>
        <row r="718">
          <cell r="X718">
            <v>1487.5</v>
          </cell>
          <cell r="Y718" t="str">
            <v>Material and Supplies</v>
          </cell>
        </row>
        <row r="719">
          <cell r="X719">
            <v>699.13</v>
          </cell>
          <cell r="Y719" t="str">
            <v>F&amp;A</v>
          </cell>
        </row>
        <row r="720">
          <cell r="X720">
            <v>350</v>
          </cell>
          <cell r="Y720" t="str">
            <v>Internation Travel</v>
          </cell>
        </row>
        <row r="721">
          <cell r="X721">
            <v>50</v>
          </cell>
          <cell r="Y721" t="str">
            <v>Internation Travel</v>
          </cell>
        </row>
        <row r="722">
          <cell r="X722">
            <v>662.63</v>
          </cell>
          <cell r="Y722" t="str">
            <v>Internation Travel</v>
          </cell>
        </row>
        <row r="723">
          <cell r="X723">
            <v>499.44</v>
          </cell>
          <cell r="Y723" t="str">
            <v>F&amp;A</v>
          </cell>
        </row>
        <row r="724">
          <cell r="X724">
            <v>3443.42</v>
          </cell>
          <cell r="Y724" t="str">
            <v>Senior Personnel</v>
          </cell>
        </row>
        <row r="725">
          <cell r="X725">
            <v>213.49</v>
          </cell>
          <cell r="Y725" t="str">
            <v>Senior Personnel</v>
          </cell>
        </row>
        <row r="726">
          <cell r="X726">
            <v>49.93</v>
          </cell>
          <cell r="Y726" t="str">
            <v>Senior Personnel</v>
          </cell>
        </row>
        <row r="727">
          <cell r="X727">
            <v>268.58</v>
          </cell>
          <cell r="Y727" t="str">
            <v>Senior Personnel</v>
          </cell>
        </row>
        <row r="728">
          <cell r="X728">
            <v>1618.41</v>
          </cell>
          <cell r="Y728" t="str">
            <v>F&amp;A</v>
          </cell>
        </row>
        <row r="729">
          <cell r="X729">
            <v>1150</v>
          </cell>
          <cell r="Y729" t="str">
            <v>Domestic Travel</v>
          </cell>
        </row>
        <row r="730">
          <cell r="X730">
            <v>540.5</v>
          </cell>
          <cell r="Y730" t="str">
            <v>F&amp;A</v>
          </cell>
        </row>
        <row r="731">
          <cell r="X731">
            <v>50</v>
          </cell>
          <cell r="Y731" t="str">
            <v>Internation Travel</v>
          </cell>
        </row>
        <row r="732">
          <cell r="X732">
            <v>511.53</v>
          </cell>
          <cell r="Y732" t="str">
            <v>Internation Travel</v>
          </cell>
        </row>
        <row r="733">
          <cell r="X733">
            <v>1388.74</v>
          </cell>
          <cell r="Y733" t="str">
            <v>Internation Travel</v>
          </cell>
        </row>
        <row r="734">
          <cell r="X734">
            <v>13.89</v>
          </cell>
          <cell r="Y734" t="str">
            <v>Internation Travel</v>
          </cell>
        </row>
        <row r="735">
          <cell r="X735">
            <v>991.96</v>
          </cell>
          <cell r="Y735" t="str">
            <v>Internation Travel</v>
          </cell>
        </row>
        <row r="736">
          <cell r="X736">
            <v>9.92</v>
          </cell>
          <cell r="Y736" t="str">
            <v>Internation Travel</v>
          </cell>
        </row>
        <row r="737">
          <cell r="X737">
            <v>1394.04</v>
          </cell>
          <cell r="Y737" t="str">
            <v>F&amp;A</v>
          </cell>
        </row>
        <row r="738">
          <cell r="X738">
            <v>111.74</v>
          </cell>
          <cell r="Y738" t="str">
            <v>Tuition</v>
          </cell>
        </row>
        <row r="739">
          <cell r="X739">
            <v>223.48</v>
          </cell>
          <cell r="Y739" t="str">
            <v>Tuition</v>
          </cell>
        </row>
        <row r="740">
          <cell r="X740">
            <v>279.35000000000002</v>
          </cell>
          <cell r="Y740" t="str">
            <v>Tuition</v>
          </cell>
        </row>
        <row r="741">
          <cell r="X741">
            <v>502.83</v>
          </cell>
          <cell r="Y741" t="str">
            <v>Tuition</v>
          </cell>
        </row>
        <row r="742">
          <cell r="X742">
            <v>250.04</v>
          </cell>
          <cell r="Y742" t="str">
            <v>F&amp;A</v>
          </cell>
        </row>
        <row r="743">
          <cell r="X743">
            <v>30.99</v>
          </cell>
          <cell r="Y743" t="str">
            <v>Senior Personnel</v>
          </cell>
        </row>
        <row r="744">
          <cell r="X744">
            <v>17.22</v>
          </cell>
          <cell r="Y744" t="str">
            <v>OPS</v>
          </cell>
        </row>
        <row r="745">
          <cell r="X745">
            <v>8.09</v>
          </cell>
          <cell r="Y745" t="str">
            <v>F&amp;A</v>
          </cell>
        </row>
        <row r="746">
          <cell r="X746">
            <v>14.57</v>
          </cell>
          <cell r="Y746" t="str">
            <v>F&amp;A</v>
          </cell>
        </row>
        <row r="747">
          <cell r="X747">
            <v>31.41</v>
          </cell>
          <cell r="Y747" t="str">
            <v>Material and Supplies</v>
          </cell>
        </row>
        <row r="748">
          <cell r="X748">
            <v>80.900000000000006</v>
          </cell>
          <cell r="Y748" t="str">
            <v>Material and Supplies</v>
          </cell>
        </row>
        <row r="749">
          <cell r="X749">
            <v>114.28</v>
          </cell>
          <cell r="Y749" t="str">
            <v>Material and Supplies</v>
          </cell>
        </row>
        <row r="750">
          <cell r="X750">
            <v>106.49</v>
          </cell>
          <cell r="Y750" t="str">
            <v>F&amp;A</v>
          </cell>
        </row>
        <row r="751">
          <cell r="X751">
            <v>-279.35000000000002</v>
          </cell>
          <cell r="Y751" t="str">
            <v>Tuition</v>
          </cell>
        </row>
        <row r="752">
          <cell r="X752">
            <v>-502.83</v>
          </cell>
          <cell r="Y752" t="str">
            <v>Tuition</v>
          </cell>
        </row>
        <row r="753">
          <cell r="X753">
            <v>-111.74</v>
          </cell>
          <cell r="Y753" t="str">
            <v>Tuition</v>
          </cell>
        </row>
        <row r="754">
          <cell r="X754">
            <v>-223.48</v>
          </cell>
          <cell r="Y754" t="str">
            <v>Tuition</v>
          </cell>
        </row>
        <row r="755">
          <cell r="X755">
            <v>223.49</v>
          </cell>
          <cell r="Y755" t="str">
            <v>Tuition</v>
          </cell>
        </row>
        <row r="756">
          <cell r="X756">
            <v>-223.49</v>
          </cell>
          <cell r="Y756" t="str">
            <v>Tuition</v>
          </cell>
        </row>
        <row r="757">
          <cell r="X757">
            <v>279.35000000000002</v>
          </cell>
          <cell r="Y757" t="str">
            <v>Tuition</v>
          </cell>
        </row>
        <row r="758">
          <cell r="X758">
            <v>111.74</v>
          </cell>
          <cell r="Y758" t="str">
            <v>Tuition</v>
          </cell>
        </row>
        <row r="759">
          <cell r="X759">
            <v>223.49</v>
          </cell>
          <cell r="Y759" t="str">
            <v>Tuition</v>
          </cell>
        </row>
        <row r="760">
          <cell r="X760">
            <v>502.83</v>
          </cell>
          <cell r="Y760" t="str">
            <v>Tuition</v>
          </cell>
        </row>
        <row r="761">
          <cell r="X761">
            <v>-223.49</v>
          </cell>
          <cell r="Y761" t="str">
            <v>Tuition</v>
          </cell>
        </row>
        <row r="762">
          <cell r="X762">
            <v>223.49</v>
          </cell>
          <cell r="Y762" t="str">
            <v>Tuition</v>
          </cell>
        </row>
        <row r="763">
          <cell r="X763">
            <v>379.12</v>
          </cell>
          <cell r="Y763" t="str">
            <v>Internation Travel</v>
          </cell>
        </row>
        <row r="764">
          <cell r="X764">
            <v>3.79</v>
          </cell>
          <cell r="Y764" t="str">
            <v>Internation Travel</v>
          </cell>
        </row>
        <row r="765">
          <cell r="X765">
            <v>211.25</v>
          </cell>
          <cell r="Y765" t="str">
            <v>Internation Travel</v>
          </cell>
        </row>
        <row r="766">
          <cell r="X766">
            <v>2.11</v>
          </cell>
          <cell r="Y766" t="str">
            <v>Internation Travel</v>
          </cell>
        </row>
        <row r="767">
          <cell r="X767">
            <v>280.25</v>
          </cell>
          <cell r="Y767" t="str">
            <v>F&amp;A</v>
          </cell>
        </row>
        <row r="768">
          <cell r="X768">
            <v>275.07</v>
          </cell>
          <cell r="Y768" t="str">
            <v>Material and Supplies</v>
          </cell>
        </row>
        <row r="769">
          <cell r="X769">
            <v>129.28</v>
          </cell>
          <cell r="Y769" t="str">
            <v>F&amp;A</v>
          </cell>
        </row>
        <row r="770">
          <cell r="X770">
            <v>115.82</v>
          </cell>
          <cell r="Y770" t="str">
            <v>Material and Supplies</v>
          </cell>
        </row>
        <row r="771">
          <cell r="X771">
            <v>54.44</v>
          </cell>
          <cell r="Y771" t="str">
            <v>F&amp;A</v>
          </cell>
        </row>
        <row r="772">
          <cell r="X772">
            <v>2851.56</v>
          </cell>
          <cell r="Y772" t="str">
            <v>OPS</v>
          </cell>
        </row>
        <row r="773">
          <cell r="X773">
            <v>326.8</v>
          </cell>
          <cell r="Y773" t="str">
            <v>OPS</v>
          </cell>
        </row>
        <row r="774">
          <cell r="X774">
            <v>11</v>
          </cell>
          <cell r="Y774" t="str">
            <v>Domestic Travel</v>
          </cell>
        </row>
        <row r="775">
          <cell r="X775">
            <v>25</v>
          </cell>
          <cell r="Y775" t="str">
            <v>Domestic Travel</v>
          </cell>
        </row>
        <row r="776">
          <cell r="X776">
            <v>80</v>
          </cell>
          <cell r="Y776" t="str">
            <v>Domestic Travel</v>
          </cell>
        </row>
        <row r="777">
          <cell r="X777">
            <v>56</v>
          </cell>
          <cell r="Y777" t="str">
            <v>Internation Travel</v>
          </cell>
        </row>
        <row r="778">
          <cell r="X778">
            <v>138</v>
          </cell>
          <cell r="Y778" t="str">
            <v>Internation Travel</v>
          </cell>
        </row>
        <row r="779">
          <cell r="X779">
            <v>259</v>
          </cell>
          <cell r="Y779" t="str">
            <v>Internation Travel</v>
          </cell>
        </row>
        <row r="780">
          <cell r="X780">
            <v>15</v>
          </cell>
          <cell r="Y780" t="str">
            <v>Internation Travel</v>
          </cell>
        </row>
        <row r="781">
          <cell r="X781">
            <v>274.48</v>
          </cell>
          <cell r="Y781" t="str">
            <v>F&amp;A</v>
          </cell>
        </row>
        <row r="782">
          <cell r="X782">
            <v>1493.83</v>
          </cell>
          <cell r="Y782" t="str">
            <v>F&amp;A</v>
          </cell>
        </row>
        <row r="783">
          <cell r="X783">
            <v>453.95</v>
          </cell>
          <cell r="Y783" t="str">
            <v>Tuition</v>
          </cell>
        </row>
        <row r="784">
          <cell r="X784">
            <v>453.95</v>
          </cell>
          <cell r="Y784" t="str">
            <v>Tuition</v>
          </cell>
        </row>
        <row r="785">
          <cell r="X785">
            <v>453.95</v>
          </cell>
          <cell r="Y785" t="str">
            <v>Tuition</v>
          </cell>
        </row>
        <row r="786">
          <cell r="X786">
            <v>2851.56</v>
          </cell>
          <cell r="Y786" t="str">
            <v>OPS</v>
          </cell>
        </row>
        <row r="787">
          <cell r="X787">
            <v>326.8</v>
          </cell>
          <cell r="Y787" t="str">
            <v>OPS</v>
          </cell>
        </row>
        <row r="788">
          <cell r="X788">
            <v>1487.5</v>
          </cell>
          <cell r="Y788" t="str">
            <v>Publication Costs</v>
          </cell>
        </row>
        <row r="789">
          <cell r="X789">
            <v>-245.33</v>
          </cell>
          <cell r="Y789" t="str">
            <v>Material and Supplies</v>
          </cell>
        </row>
        <row r="790">
          <cell r="X790">
            <v>-810</v>
          </cell>
          <cell r="Y790" t="str">
            <v>Material and Supplies</v>
          </cell>
        </row>
        <row r="791">
          <cell r="X791">
            <v>-1487.5</v>
          </cell>
          <cell r="Y791" t="str">
            <v>Material and Supplies</v>
          </cell>
        </row>
        <row r="792">
          <cell r="X792">
            <v>245.33</v>
          </cell>
          <cell r="Y792" t="str">
            <v>Material and Supplies</v>
          </cell>
        </row>
        <row r="793">
          <cell r="X793">
            <v>810</v>
          </cell>
          <cell r="Y793" t="str">
            <v>Material and Supplies</v>
          </cell>
        </row>
        <row r="794">
          <cell r="X794">
            <v>1493.83</v>
          </cell>
          <cell r="Y794" t="str">
            <v>F&amp;A</v>
          </cell>
        </row>
        <row r="795">
          <cell r="X795">
            <v>453.95</v>
          </cell>
          <cell r="Y795" t="str">
            <v>Tuition</v>
          </cell>
        </row>
        <row r="796">
          <cell r="X796">
            <v>453.95</v>
          </cell>
          <cell r="Y796" t="str">
            <v>Tuition</v>
          </cell>
        </row>
        <row r="797">
          <cell r="X797">
            <v>453.95</v>
          </cell>
          <cell r="Y797" t="str">
            <v>Tuition</v>
          </cell>
        </row>
      </sheetData>
      <sheetData sheetId="2">
        <row r="2">
          <cell r="S2">
            <v>8554.68</v>
          </cell>
          <cell r="T2" t="str">
            <v>OPS</v>
          </cell>
        </row>
        <row r="3">
          <cell r="S3">
            <v>980.4</v>
          </cell>
          <cell r="T3" t="str">
            <v>OPS</v>
          </cell>
        </row>
        <row r="4">
          <cell r="S4">
            <v>4840</v>
          </cell>
          <cell r="T4" t="str">
            <v>Material and Supplies</v>
          </cell>
        </row>
      </sheetData>
      <sheetData sheetId="3">
        <row r="2">
          <cell r="F2">
            <v>28.515599999999999</v>
          </cell>
          <cell r="G2" t="str">
            <v>OPS</v>
          </cell>
        </row>
        <row r="3">
          <cell r="F3">
            <v>42.773400000000002</v>
          </cell>
          <cell r="G3" t="str">
            <v>OPS</v>
          </cell>
        </row>
        <row r="4">
          <cell r="F4">
            <v>2600</v>
          </cell>
          <cell r="G4" t="str">
            <v>Tuition</v>
          </cell>
        </row>
        <row r="5">
          <cell r="F5">
            <v>153.32</v>
          </cell>
          <cell r="G5" t="str">
            <v>Domestic Travel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Posted Expenses "/>
      <sheetName val="Encumbrances"/>
      <sheetName val="Pending"/>
      <sheetName val="Personnel"/>
      <sheetName val="Current Month"/>
      <sheetName val="ImageID_Check"/>
    </sheetNames>
    <sheetDataSet>
      <sheetData sheetId="0"/>
      <sheetData sheetId="1">
        <row r="2">
          <cell r="X2">
            <v>52.78</v>
          </cell>
          <cell r="AG2" t="str">
            <v>Senior Personnel</v>
          </cell>
        </row>
        <row r="3">
          <cell r="X3">
            <v>857.5</v>
          </cell>
          <cell r="AG3" t="str">
            <v>OPS</v>
          </cell>
        </row>
        <row r="4">
          <cell r="X4">
            <v>857.5</v>
          </cell>
          <cell r="AG4" t="str">
            <v>OPS</v>
          </cell>
        </row>
        <row r="5">
          <cell r="X5">
            <v>86.32</v>
          </cell>
          <cell r="AG5" t="str">
            <v>Other</v>
          </cell>
        </row>
        <row r="6">
          <cell r="X6">
            <v>496.5</v>
          </cell>
          <cell r="AG6" t="str">
            <v>Other</v>
          </cell>
        </row>
        <row r="7">
          <cell r="X7">
            <v>44</v>
          </cell>
          <cell r="AG7" t="str">
            <v>Other</v>
          </cell>
        </row>
        <row r="8">
          <cell r="X8">
            <v>12.08</v>
          </cell>
          <cell r="AG8" t="str">
            <v>Other</v>
          </cell>
        </row>
        <row r="9">
          <cell r="X9">
            <v>200</v>
          </cell>
          <cell r="AG9" t="str">
            <v>Other</v>
          </cell>
        </row>
        <row r="10">
          <cell r="X10">
            <v>40.43</v>
          </cell>
          <cell r="AG10" t="str">
            <v>OPS</v>
          </cell>
        </row>
        <row r="11">
          <cell r="X11">
            <v>1331.34</v>
          </cell>
          <cell r="AG11" t="str">
            <v>Tuition</v>
          </cell>
        </row>
        <row r="12">
          <cell r="X12">
            <v>5760</v>
          </cell>
          <cell r="AG12" t="str">
            <v>Equipment</v>
          </cell>
        </row>
        <row r="13">
          <cell r="X13">
            <v>24.81</v>
          </cell>
          <cell r="AG13" t="str">
            <v>F&amp;A</v>
          </cell>
        </row>
        <row r="14">
          <cell r="X14">
            <v>19</v>
          </cell>
          <cell r="AG14" t="str">
            <v>F&amp;A</v>
          </cell>
        </row>
        <row r="15">
          <cell r="X15">
            <v>403.03</v>
          </cell>
          <cell r="AG15" t="str">
            <v>F&amp;A</v>
          </cell>
        </row>
        <row r="16">
          <cell r="X16">
            <v>403.03</v>
          </cell>
          <cell r="AG16" t="str">
            <v>F&amp;A</v>
          </cell>
        </row>
        <row r="17">
          <cell r="X17">
            <v>61.25</v>
          </cell>
          <cell r="AG17" t="str">
            <v>F&amp;A</v>
          </cell>
        </row>
        <row r="18">
          <cell r="X18">
            <v>239.04</v>
          </cell>
          <cell r="AG18" t="str">
            <v>F&amp;A</v>
          </cell>
        </row>
        <row r="19">
          <cell r="X19">
            <v>94</v>
          </cell>
          <cell r="AG19" t="str">
            <v>F&amp;A</v>
          </cell>
        </row>
        <row r="20">
          <cell r="X20">
            <v>1720.1</v>
          </cell>
          <cell r="AG20" t="str">
            <v>Senior Personnel</v>
          </cell>
        </row>
        <row r="21">
          <cell r="X21">
            <v>1720.1</v>
          </cell>
          <cell r="AG21" t="str">
            <v>Senior Personnel</v>
          </cell>
        </row>
        <row r="22">
          <cell r="X22">
            <v>146.05000000000001</v>
          </cell>
          <cell r="AG22" t="str">
            <v>Senior Personnel</v>
          </cell>
        </row>
        <row r="23">
          <cell r="X23">
            <v>104.86</v>
          </cell>
          <cell r="AG23" t="str">
            <v>Senior Personnel</v>
          </cell>
        </row>
        <row r="24">
          <cell r="X24">
            <v>104.86</v>
          </cell>
          <cell r="AG24" t="str">
            <v>Senior Personnel</v>
          </cell>
        </row>
        <row r="25">
          <cell r="X25">
            <v>24.52</v>
          </cell>
          <cell r="AG25" t="str">
            <v>Senior Personnel</v>
          </cell>
        </row>
        <row r="26">
          <cell r="X26">
            <v>24.52</v>
          </cell>
          <cell r="AG26" t="str">
            <v>Senior Personnel</v>
          </cell>
        </row>
        <row r="27">
          <cell r="X27">
            <v>126.78</v>
          </cell>
          <cell r="AG27" t="str">
            <v>Senior Personnel</v>
          </cell>
        </row>
        <row r="28">
          <cell r="X28">
            <v>126.78</v>
          </cell>
          <cell r="AG28" t="str">
            <v>Senior Personnel</v>
          </cell>
        </row>
        <row r="29">
          <cell r="X29">
            <v>1.67</v>
          </cell>
          <cell r="AG29" t="str">
            <v>Senior Personnel</v>
          </cell>
        </row>
        <row r="30">
          <cell r="X30">
            <v>1.67</v>
          </cell>
          <cell r="AG30" t="str">
            <v>Senior Personnel</v>
          </cell>
        </row>
        <row r="31">
          <cell r="X31">
            <v>204.09</v>
          </cell>
          <cell r="AG31" t="str">
            <v>Senior Personnel</v>
          </cell>
        </row>
        <row r="32">
          <cell r="X32">
            <v>204.08</v>
          </cell>
          <cell r="AG32" t="str">
            <v>Senior Personnel</v>
          </cell>
        </row>
        <row r="33">
          <cell r="X33">
            <v>1.56</v>
          </cell>
          <cell r="AG33" t="str">
            <v>Senior Personnel</v>
          </cell>
        </row>
        <row r="34">
          <cell r="X34">
            <v>1.57</v>
          </cell>
          <cell r="AG34" t="str">
            <v>Senior Personnel</v>
          </cell>
        </row>
        <row r="35">
          <cell r="X35">
            <v>1715</v>
          </cell>
          <cell r="AG35" t="str">
            <v>OPS</v>
          </cell>
        </row>
        <row r="36">
          <cell r="X36">
            <v>1715</v>
          </cell>
          <cell r="AG36" t="str">
            <v>OPS</v>
          </cell>
        </row>
        <row r="37">
          <cell r="X37">
            <v>245.5</v>
          </cell>
          <cell r="AG37" t="str">
            <v>Other</v>
          </cell>
        </row>
        <row r="38">
          <cell r="X38">
            <v>-374</v>
          </cell>
          <cell r="AG38" t="str">
            <v>Domestic Travel</v>
          </cell>
        </row>
        <row r="39">
          <cell r="X39">
            <v>92.35</v>
          </cell>
          <cell r="AG39" t="str">
            <v>OPS</v>
          </cell>
        </row>
        <row r="40">
          <cell r="X40">
            <v>807.01</v>
          </cell>
          <cell r="AG40" t="str">
            <v>Tuition</v>
          </cell>
        </row>
        <row r="41">
          <cell r="X41">
            <v>807.01</v>
          </cell>
          <cell r="AG41" t="str">
            <v>Tuition</v>
          </cell>
        </row>
        <row r="42">
          <cell r="X42">
            <v>726.3</v>
          </cell>
          <cell r="AG42" t="str">
            <v>Tuition</v>
          </cell>
        </row>
        <row r="43">
          <cell r="X43">
            <v>807.01</v>
          </cell>
          <cell r="AG43" t="str">
            <v>Tuition</v>
          </cell>
        </row>
        <row r="44">
          <cell r="X44">
            <v>807.01</v>
          </cell>
          <cell r="AG44" t="str">
            <v>Tuition</v>
          </cell>
        </row>
        <row r="45">
          <cell r="X45">
            <v>605.26</v>
          </cell>
          <cell r="AG45" t="str">
            <v>Tuition</v>
          </cell>
        </row>
        <row r="46">
          <cell r="X46">
            <v>605.26</v>
          </cell>
          <cell r="AG46" t="str">
            <v>Tuition</v>
          </cell>
        </row>
        <row r="47">
          <cell r="X47">
            <v>544.73</v>
          </cell>
          <cell r="AG47" t="str">
            <v>Tuition</v>
          </cell>
        </row>
        <row r="48">
          <cell r="X48">
            <v>605.26</v>
          </cell>
          <cell r="AG48" t="str">
            <v>Tuition</v>
          </cell>
        </row>
        <row r="49">
          <cell r="X49">
            <v>605.26</v>
          </cell>
          <cell r="AG49" t="str">
            <v>Tuition</v>
          </cell>
        </row>
        <row r="50">
          <cell r="X50">
            <v>68.64</v>
          </cell>
          <cell r="AG50" t="str">
            <v>F&amp;A</v>
          </cell>
        </row>
        <row r="51">
          <cell r="X51">
            <v>43.4</v>
          </cell>
          <cell r="AG51" t="str">
            <v>F&amp;A</v>
          </cell>
        </row>
        <row r="52">
          <cell r="X52">
            <v>1832.32</v>
          </cell>
          <cell r="AG52" t="str">
            <v>F&amp;A</v>
          </cell>
        </row>
        <row r="53">
          <cell r="X53">
            <v>115.39</v>
          </cell>
          <cell r="AG53" t="str">
            <v>F&amp;A</v>
          </cell>
        </row>
        <row r="54">
          <cell r="X54">
            <v>1832.33</v>
          </cell>
          <cell r="AG54" t="str">
            <v>F&amp;A</v>
          </cell>
        </row>
        <row r="55">
          <cell r="X55">
            <v>135</v>
          </cell>
          <cell r="AG55" t="str">
            <v>Material and Supplies</v>
          </cell>
        </row>
        <row r="56">
          <cell r="X56">
            <v>63.45</v>
          </cell>
          <cell r="AG56" t="str">
            <v>F&amp;A</v>
          </cell>
        </row>
        <row r="57">
          <cell r="X57">
            <v>857.5</v>
          </cell>
          <cell r="AG57" t="str">
            <v>OPS</v>
          </cell>
        </row>
        <row r="58">
          <cell r="X58">
            <v>1457.75</v>
          </cell>
          <cell r="AG58" t="str">
            <v>OPS</v>
          </cell>
        </row>
        <row r="59">
          <cell r="X59">
            <v>301</v>
          </cell>
          <cell r="AG59" t="str">
            <v>Material and Supplies</v>
          </cell>
        </row>
        <row r="60">
          <cell r="X60">
            <v>315.5</v>
          </cell>
          <cell r="AG60" t="str">
            <v>Material and Supplies</v>
          </cell>
        </row>
        <row r="61">
          <cell r="X61">
            <v>116.49</v>
          </cell>
          <cell r="AG61" t="str">
            <v>Material and Supplies</v>
          </cell>
        </row>
        <row r="62">
          <cell r="X62">
            <v>14.26</v>
          </cell>
          <cell r="AG62" t="str">
            <v>Other</v>
          </cell>
        </row>
        <row r="63">
          <cell r="X63">
            <v>5.5</v>
          </cell>
          <cell r="AG63" t="str">
            <v>Other</v>
          </cell>
        </row>
        <row r="64">
          <cell r="X64">
            <v>13.72</v>
          </cell>
          <cell r="AG64" t="str">
            <v>OPS</v>
          </cell>
        </row>
        <row r="65">
          <cell r="X65">
            <v>-242.23</v>
          </cell>
          <cell r="AG65" t="str">
            <v>Tuition</v>
          </cell>
        </row>
        <row r="66">
          <cell r="X66">
            <v>-242.22</v>
          </cell>
          <cell r="AG66" t="str">
            <v>Tuition</v>
          </cell>
        </row>
        <row r="67">
          <cell r="X67">
            <v>-241.87</v>
          </cell>
          <cell r="AG67" t="str">
            <v>Tuition</v>
          </cell>
        </row>
        <row r="68">
          <cell r="X68">
            <v>726.32</v>
          </cell>
          <cell r="AG68" t="str">
            <v>Tuition</v>
          </cell>
        </row>
        <row r="69">
          <cell r="X69">
            <v>-24.84</v>
          </cell>
          <cell r="AG69" t="str">
            <v>Tuition</v>
          </cell>
        </row>
        <row r="70">
          <cell r="X70">
            <v>6.45</v>
          </cell>
          <cell r="AG70" t="str">
            <v>F&amp;A</v>
          </cell>
        </row>
        <row r="71">
          <cell r="X71">
            <v>296.45999999999998</v>
          </cell>
          <cell r="AG71" t="str">
            <v>F&amp;A</v>
          </cell>
        </row>
        <row r="72">
          <cell r="X72">
            <v>57.34</v>
          </cell>
          <cell r="AG72" t="str">
            <v>F&amp;A</v>
          </cell>
        </row>
        <row r="73">
          <cell r="X73">
            <v>403.03</v>
          </cell>
          <cell r="AG73" t="str">
            <v>F&amp;A</v>
          </cell>
        </row>
        <row r="74">
          <cell r="X74">
            <v>685.14</v>
          </cell>
          <cell r="AG74" t="str">
            <v>F&amp;A</v>
          </cell>
        </row>
        <row r="75">
          <cell r="X75">
            <v>1715</v>
          </cell>
          <cell r="AG75" t="str">
            <v>OPS</v>
          </cell>
        </row>
        <row r="76">
          <cell r="X76">
            <v>1715</v>
          </cell>
          <cell r="AG76" t="str">
            <v>OPS</v>
          </cell>
        </row>
        <row r="77">
          <cell r="X77">
            <v>215</v>
          </cell>
          <cell r="AG77" t="str">
            <v>Other</v>
          </cell>
        </row>
        <row r="78">
          <cell r="X78">
            <v>92</v>
          </cell>
          <cell r="AG78" t="str">
            <v>Other</v>
          </cell>
        </row>
        <row r="79">
          <cell r="X79">
            <v>34.08</v>
          </cell>
          <cell r="AG79" t="str">
            <v>Other</v>
          </cell>
        </row>
        <row r="80">
          <cell r="X80">
            <v>115.44</v>
          </cell>
          <cell r="AG80" t="str">
            <v>Other</v>
          </cell>
        </row>
        <row r="81">
          <cell r="X81">
            <v>18.5</v>
          </cell>
          <cell r="AG81" t="str">
            <v>Other</v>
          </cell>
        </row>
        <row r="82">
          <cell r="X82">
            <v>120.5</v>
          </cell>
          <cell r="AG82" t="str">
            <v>Other</v>
          </cell>
        </row>
        <row r="83">
          <cell r="X83">
            <v>61.5</v>
          </cell>
          <cell r="AG83" t="str">
            <v>Other</v>
          </cell>
        </row>
        <row r="84">
          <cell r="X84">
            <v>18.52</v>
          </cell>
          <cell r="AG84" t="str">
            <v>OPS</v>
          </cell>
        </row>
        <row r="85">
          <cell r="X85">
            <v>806.05</v>
          </cell>
          <cell r="AG85" t="str">
            <v>F&amp;A</v>
          </cell>
        </row>
        <row r="86">
          <cell r="X86">
            <v>8.6999999999999993</v>
          </cell>
          <cell r="AG86" t="str">
            <v>F&amp;A</v>
          </cell>
        </row>
        <row r="87">
          <cell r="X87">
            <v>243.48</v>
          </cell>
          <cell r="AG87" t="str">
            <v>F&amp;A</v>
          </cell>
        </row>
        <row r="88">
          <cell r="X88">
            <v>8.6999999999999993</v>
          </cell>
          <cell r="AG88" t="str">
            <v>F&amp;A</v>
          </cell>
        </row>
        <row r="89">
          <cell r="X89">
            <v>806.05</v>
          </cell>
          <cell r="AG89" t="str">
            <v>F&amp;A</v>
          </cell>
        </row>
        <row r="90">
          <cell r="X90">
            <v>56.64</v>
          </cell>
          <cell r="AG90" t="str">
            <v>F&amp;A</v>
          </cell>
        </row>
        <row r="91">
          <cell r="X91">
            <v>1244.98</v>
          </cell>
          <cell r="AG91" t="str">
            <v>Senior Personnel</v>
          </cell>
        </row>
        <row r="92">
          <cell r="X92">
            <v>76.16</v>
          </cell>
          <cell r="AG92" t="str">
            <v>Senior Personnel</v>
          </cell>
        </row>
        <row r="93">
          <cell r="X93">
            <v>17.809999999999999</v>
          </cell>
          <cell r="AG93" t="str">
            <v>Senior Personnel</v>
          </cell>
        </row>
        <row r="94">
          <cell r="X94">
            <v>64.48</v>
          </cell>
          <cell r="AG94" t="str">
            <v>Senior Personnel</v>
          </cell>
        </row>
        <row r="95">
          <cell r="X95">
            <v>0.76</v>
          </cell>
          <cell r="AG95" t="str">
            <v>Senior Personnel</v>
          </cell>
        </row>
        <row r="96">
          <cell r="X96">
            <v>64.98</v>
          </cell>
          <cell r="AG96" t="str">
            <v>Senior Personnel</v>
          </cell>
        </row>
        <row r="97">
          <cell r="X97">
            <v>1.18</v>
          </cell>
          <cell r="AG97" t="str">
            <v>Senior Personnel</v>
          </cell>
        </row>
        <row r="98">
          <cell r="X98">
            <v>857.16</v>
          </cell>
          <cell r="AG98" t="str">
            <v>OPS</v>
          </cell>
        </row>
        <row r="99">
          <cell r="X99">
            <v>857.16</v>
          </cell>
          <cell r="AG99" t="str">
            <v>OPS</v>
          </cell>
        </row>
        <row r="100">
          <cell r="X100">
            <v>740.84</v>
          </cell>
          <cell r="AG100" t="str">
            <v>Tuition</v>
          </cell>
        </row>
        <row r="101">
          <cell r="X101">
            <v>402.87</v>
          </cell>
          <cell r="AG101" t="str">
            <v>F&amp;A</v>
          </cell>
        </row>
        <row r="102">
          <cell r="X102">
            <v>1093.94</v>
          </cell>
          <cell r="AG102" t="str">
            <v>F&amp;A</v>
          </cell>
        </row>
        <row r="103">
          <cell r="X103">
            <v>1715</v>
          </cell>
          <cell r="AG103" t="str">
            <v>OPS</v>
          </cell>
        </row>
        <row r="104">
          <cell r="X104">
            <v>1745.66</v>
          </cell>
          <cell r="AG104" t="str">
            <v>OPS</v>
          </cell>
        </row>
        <row r="105">
          <cell r="X105">
            <v>1753.32</v>
          </cell>
          <cell r="AG105" t="str">
            <v>OPS</v>
          </cell>
        </row>
        <row r="106">
          <cell r="X106">
            <v>56.8</v>
          </cell>
          <cell r="AG106" t="str">
            <v>Other</v>
          </cell>
        </row>
        <row r="107">
          <cell r="X107">
            <v>65</v>
          </cell>
          <cell r="AG107" t="str">
            <v>Other</v>
          </cell>
        </row>
        <row r="108">
          <cell r="X108">
            <v>98</v>
          </cell>
          <cell r="AG108" t="str">
            <v>Domestic Travel</v>
          </cell>
        </row>
        <row r="109">
          <cell r="X109">
            <v>6</v>
          </cell>
          <cell r="AG109" t="str">
            <v>Domestic Travel</v>
          </cell>
        </row>
        <row r="110">
          <cell r="X110">
            <v>11</v>
          </cell>
          <cell r="AG110" t="str">
            <v>Domestic Travel</v>
          </cell>
        </row>
        <row r="111">
          <cell r="X111">
            <v>19</v>
          </cell>
          <cell r="AG111" t="str">
            <v>Domestic Travel</v>
          </cell>
        </row>
        <row r="112">
          <cell r="X112">
            <v>426</v>
          </cell>
          <cell r="AG112" t="str">
            <v>Internation Travel</v>
          </cell>
        </row>
        <row r="113">
          <cell r="X113">
            <v>225</v>
          </cell>
          <cell r="AG113" t="str">
            <v>Internation Travel</v>
          </cell>
        </row>
        <row r="114">
          <cell r="X114">
            <v>10.77</v>
          </cell>
          <cell r="AG114" t="str">
            <v>Internation Travel</v>
          </cell>
        </row>
        <row r="115">
          <cell r="X115">
            <v>931.36</v>
          </cell>
          <cell r="AG115" t="str">
            <v>Internation Travel</v>
          </cell>
        </row>
        <row r="116">
          <cell r="X116">
            <v>9.31</v>
          </cell>
          <cell r="AG116" t="str">
            <v>Internation Travel</v>
          </cell>
        </row>
        <row r="117">
          <cell r="X117">
            <v>57.73</v>
          </cell>
          <cell r="AG117" t="str">
            <v>Material and Supplies</v>
          </cell>
        </row>
        <row r="118">
          <cell r="X118">
            <v>-0.57999999999999996</v>
          </cell>
          <cell r="AG118" t="str">
            <v>Material and Supplies</v>
          </cell>
        </row>
        <row r="119">
          <cell r="X119">
            <v>420</v>
          </cell>
          <cell r="AG119" t="str">
            <v>Material and Supplies</v>
          </cell>
        </row>
        <row r="120">
          <cell r="X120">
            <v>315</v>
          </cell>
          <cell r="AG120" t="str">
            <v>Material and Supplies</v>
          </cell>
        </row>
        <row r="121">
          <cell r="X121">
            <v>96.4</v>
          </cell>
          <cell r="AG121" t="str">
            <v>Material and Supplies</v>
          </cell>
        </row>
        <row r="122">
          <cell r="X122">
            <v>15.93</v>
          </cell>
          <cell r="AG122" t="str">
            <v>Other</v>
          </cell>
        </row>
        <row r="123">
          <cell r="X123">
            <v>17</v>
          </cell>
          <cell r="AG123" t="str">
            <v>Other</v>
          </cell>
        </row>
        <row r="124">
          <cell r="X124">
            <v>20</v>
          </cell>
          <cell r="AG124" t="str">
            <v>Other</v>
          </cell>
        </row>
        <row r="125">
          <cell r="X125">
            <v>27.44</v>
          </cell>
          <cell r="AG125" t="str">
            <v>OPS</v>
          </cell>
        </row>
        <row r="126">
          <cell r="X126">
            <v>181.58</v>
          </cell>
          <cell r="AG126" t="str">
            <v>Tuition</v>
          </cell>
        </row>
        <row r="127">
          <cell r="X127">
            <v>453.95</v>
          </cell>
          <cell r="AG127" t="str">
            <v>Tuition</v>
          </cell>
        </row>
        <row r="128">
          <cell r="X128">
            <v>181.58</v>
          </cell>
          <cell r="AG128" t="str">
            <v>Tuition</v>
          </cell>
        </row>
        <row r="129">
          <cell r="X129">
            <v>453.95</v>
          </cell>
          <cell r="AG129" t="str">
            <v>Tuition</v>
          </cell>
        </row>
        <row r="130">
          <cell r="X130">
            <v>-181.58</v>
          </cell>
          <cell r="AG130" t="str">
            <v>Tuition</v>
          </cell>
        </row>
        <row r="131">
          <cell r="X131">
            <v>-453.95</v>
          </cell>
          <cell r="AG131" t="str">
            <v>Tuition</v>
          </cell>
        </row>
        <row r="132">
          <cell r="X132">
            <v>-181.58</v>
          </cell>
          <cell r="AG132" t="str">
            <v>Tuition</v>
          </cell>
        </row>
        <row r="133">
          <cell r="X133">
            <v>-453.95</v>
          </cell>
          <cell r="AG133" t="str">
            <v>Tuition</v>
          </cell>
        </row>
        <row r="134">
          <cell r="X134">
            <v>181.58</v>
          </cell>
          <cell r="AG134" t="str">
            <v>Tuition</v>
          </cell>
        </row>
        <row r="135">
          <cell r="X135">
            <v>453.95</v>
          </cell>
          <cell r="AG135" t="str">
            <v>Tuition</v>
          </cell>
        </row>
        <row r="136">
          <cell r="X136">
            <v>181.58</v>
          </cell>
          <cell r="AG136" t="str">
            <v>Tuition</v>
          </cell>
        </row>
        <row r="137">
          <cell r="X137">
            <v>453.95</v>
          </cell>
          <cell r="AG137" t="str">
            <v>Tuition</v>
          </cell>
        </row>
        <row r="138">
          <cell r="X138">
            <v>453.95</v>
          </cell>
          <cell r="AG138" t="str">
            <v>Tuition</v>
          </cell>
        </row>
        <row r="139">
          <cell r="X139">
            <v>453.95</v>
          </cell>
          <cell r="AG139" t="str">
            <v>Tuition</v>
          </cell>
        </row>
        <row r="140">
          <cell r="X140">
            <v>453.95</v>
          </cell>
          <cell r="AG140" t="str">
            <v>Tuition</v>
          </cell>
        </row>
        <row r="141">
          <cell r="X141">
            <v>453.95</v>
          </cell>
          <cell r="AG141" t="str">
            <v>Tuition</v>
          </cell>
        </row>
        <row r="142">
          <cell r="X142">
            <v>453.95</v>
          </cell>
          <cell r="AG142" t="str">
            <v>Tuition</v>
          </cell>
        </row>
        <row r="143">
          <cell r="X143">
            <v>453.95</v>
          </cell>
          <cell r="AG143" t="str">
            <v>Tuition</v>
          </cell>
        </row>
        <row r="144">
          <cell r="X144">
            <v>806.05</v>
          </cell>
          <cell r="AG144" t="str">
            <v>F&amp;A</v>
          </cell>
        </row>
        <row r="145">
          <cell r="X145">
            <v>34.19</v>
          </cell>
          <cell r="AG145" t="str">
            <v>F&amp;A</v>
          </cell>
        </row>
        <row r="146">
          <cell r="X146">
            <v>374.01</v>
          </cell>
          <cell r="AG146" t="str">
            <v>F&amp;A</v>
          </cell>
        </row>
        <row r="147">
          <cell r="X147">
            <v>442.12</v>
          </cell>
          <cell r="AG147" t="str">
            <v>F&amp;A</v>
          </cell>
        </row>
        <row r="148">
          <cell r="X148">
            <v>26.86</v>
          </cell>
          <cell r="AG148" t="str">
            <v>F&amp;A</v>
          </cell>
        </row>
        <row r="149">
          <cell r="X149">
            <v>12.9</v>
          </cell>
          <cell r="AG149" t="str">
            <v>F&amp;A</v>
          </cell>
        </row>
        <row r="150">
          <cell r="X150">
            <v>820.46</v>
          </cell>
          <cell r="AG150" t="str">
            <v>F&amp;A</v>
          </cell>
        </row>
        <row r="151">
          <cell r="X151">
            <v>353.44</v>
          </cell>
          <cell r="AG151" t="str">
            <v>F&amp;A</v>
          </cell>
        </row>
        <row r="152">
          <cell r="X152">
            <v>45.31</v>
          </cell>
          <cell r="AG152" t="str">
            <v>F&amp;A</v>
          </cell>
        </row>
        <row r="153">
          <cell r="X153">
            <v>39.950000000000003</v>
          </cell>
          <cell r="AG153" t="str">
            <v>F&amp;A</v>
          </cell>
        </row>
        <row r="154">
          <cell r="X154">
            <v>824.06</v>
          </cell>
          <cell r="AG154" t="str">
            <v>F&amp;A</v>
          </cell>
        </row>
        <row r="155">
          <cell r="X155">
            <v>1244.99</v>
          </cell>
          <cell r="AG155" t="str">
            <v>Senior Personnel</v>
          </cell>
        </row>
        <row r="156">
          <cell r="X156">
            <v>1245</v>
          </cell>
          <cell r="AG156" t="str">
            <v>Senior Personnel</v>
          </cell>
        </row>
        <row r="157">
          <cell r="X157">
            <v>16.190000000000001</v>
          </cell>
          <cell r="AG157" t="str">
            <v>Senior Personnel</v>
          </cell>
        </row>
        <row r="158">
          <cell r="X158">
            <v>76.16</v>
          </cell>
          <cell r="AG158" t="str">
            <v>Senior Personnel</v>
          </cell>
        </row>
        <row r="159">
          <cell r="X159">
            <v>77.19</v>
          </cell>
          <cell r="AG159" t="str">
            <v>Senior Personnel</v>
          </cell>
        </row>
        <row r="160">
          <cell r="X160">
            <v>17.809999999999999</v>
          </cell>
          <cell r="AG160" t="str">
            <v>Senior Personnel</v>
          </cell>
        </row>
        <row r="161">
          <cell r="X161">
            <v>18.05</v>
          </cell>
          <cell r="AG161" t="str">
            <v>Senior Personnel</v>
          </cell>
        </row>
        <row r="162">
          <cell r="X162">
            <v>64.489999999999995</v>
          </cell>
          <cell r="AG162" t="str">
            <v>Senior Personnel</v>
          </cell>
        </row>
        <row r="163">
          <cell r="X163">
            <v>64.489999999999995</v>
          </cell>
          <cell r="AG163" t="str">
            <v>Senior Personnel</v>
          </cell>
        </row>
        <row r="164">
          <cell r="X164">
            <v>0.76</v>
          </cell>
          <cell r="AG164" t="str">
            <v>Senior Personnel</v>
          </cell>
        </row>
        <row r="165">
          <cell r="X165">
            <v>64.98</v>
          </cell>
          <cell r="AG165" t="str">
            <v>Senior Personnel</v>
          </cell>
        </row>
        <row r="166">
          <cell r="X166">
            <v>1.1599999999999999</v>
          </cell>
          <cell r="AG166" t="str">
            <v>Senior Personnel</v>
          </cell>
        </row>
        <row r="167">
          <cell r="X167">
            <v>857.16</v>
          </cell>
          <cell r="AG167" t="str">
            <v>OPS</v>
          </cell>
        </row>
        <row r="168">
          <cell r="X168">
            <v>857.16</v>
          </cell>
          <cell r="AG168" t="str">
            <v>OPS</v>
          </cell>
        </row>
        <row r="169">
          <cell r="X169">
            <v>20.72</v>
          </cell>
          <cell r="AG169" t="str">
            <v>OPS</v>
          </cell>
        </row>
        <row r="170">
          <cell r="X170">
            <v>740.84</v>
          </cell>
          <cell r="AG170" t="str">
            <v>Tuition</v>
          </cell>
        </row>
        <row r="171">
          <cell r="X171">
            <v>7.61</v>
          </cell>
          <cell r="AG171" t="str">
            <v>F&amp;A</v>
          </cell>
        </row>
        <row r="172">
          <cell r="X172">
            <v>9.74</v>
          </cell>
          <cell r="AG172" t="str">
            <v>F&amp;A</v>
          </cell>
        </row>
        <row r="173">
          <cell r="X173">
            <v>1093.95</v>
          </cell>
          <cell r="AG173" t="str">
            <v>F&amp;A</v>
          </cell>
        </row>
        <row r="174">
          <cell r="X174">
            <v>1063.0899999999999</v>
          </cell>
          <cell r="AG174" t="str">
            <v>F&amp;A</v>
          </cell>
        </row>
        <row r="175">
          <cell r="X175">
            <v>1753.32</v>
          </cell>
          <cell r="AG175" t="str">
            <v>OPS</v>
          </cell>
        </row>
        <row r="176">
          <cell r="X176">
            <v>1753.32</v>
          </cell>
          <cell r="AG176" t="str">
            <v>OPS</v>
          </cell>
        </row>
        <row r="177">
          <cell r="X177">
            <v>102.4</v>
          </cell>
          <cell r="AG177" t="str">
            <v>Other</v>
          </cell>
        </row>
        <row r="178">
          <cell r="X178">
            <v>12.23</v>
          </cell>
          <cell r="AG178" t="str">
            <v>Other</v>
          </cell>
        </row>
        <row r="179">
          <cell r="X179">
            <v>41.71</v>
          </cell>
          <cell r="AG179" t="str">
            <v>OPS</v>
          </cell>
        </row>
        <row r="180">
          <cell r="X180">
            <v>453.95</v>
          </cell>
          <cell r="AG180" t="str">
            <v>Tuition</v>
          </cell>
        </row>
        <row r="181">
          <cell r="X181">
            <v>453.95</v>
          </cell>
          <cell r="AG181" t="str">
            <v>Tuition</v>
          </cell>
        </row>
        <row r="182">
          <cell r="X182">
            <v>453.95</v>
          </cell>
          <cell r="AG182" t="str">
            <v>Tuition</v>
          </cell>
        </row>
        <row r="183">
          <cell r="X183">
            <v>453.95</v>
          </cell>
          <cell r="AG183" t="str">
            <v>Tuition</v>
          </cell>
        </row>
        <row r="184">
          <cell r="X184">
            <v>19.600000000000001</v>
          </cell>
          <cell r="AG184" t="str">
            <v>F&amp;A</v>
          </cell>
        </row>
        <row r="185">
          <cell r="X185">
            <v>824.06</v>
          </cell>
          <cell r="AG185" t="str">
            <v>F&amp;A</v>
          </cell>
        </row>
        <row r="186">
          <cell r="X186">
            <v>53.88</v>
          </cell>
          <cell r="AG186" t="str">
            <v>F&amp;A</v>
          </cell>
        </row>
        <row r="187">
          <cell r="X187">
            <v>824.06</v>
          </cell>
          <cell r="AG187" t="str">
            <v>F&amp;A</v>
          </cell>
        </row>
        <row r="188">
          <cell r="X188">
            <v>1245</v>
          </cell>
          <cell r="AG188" t="str">
            <v>Senior Personnel</v>
          </cell>
        </row>
        <row r="189">
          <cell r="X189">
            <v>1244.98</v>
          </cell>
          <cell r="AG189" t="str">
            <v>Senior Personnel</v>
          </cell>
        </row>
        <row r="190">
          <cell r="X190">
            <v>32.369999999999997</v>
          </cell>
          <cell r="AG190" t="str">
            <v>Senior Personnel</v>
          </cell>
        </row>
        <row r="191">
          <cell r="X191">
            <v>76.23</v>
          </cell>
          <cell r="AG191" t="str">
            <v>Senior Personnel</v>
          </cell>
        </row>
        <row r="192">
          <cell r="X192">
            <v>76.22</v>
          </cell>
          <cell r="AG192" t="str">
            <v>Senior Personnel</v>
          </cell>
        </row>
        <row r="193">
          <cell r="X193">
            <v>17.829999999999998</v>
          </cell>
          <cell r="AG193" t="str">
            <v>Senior Personnel</v>
          </cell>
        </row>
        <row r="194">
          <cell r="X194">
            <v>17.84</v>
          </cell>
          <cell r="AG194" t="str">
            <v>Senior Personnel</v>
          </cell>
        </row>
        <row r="195">
          <cell r="X195">
            <v>64.489999999999995</v>
          </cell>
          <cell r="AG195" t="str">
            <v>Senior Personnel</v>
          </cell>
        </row>
        <row r="196">
          <cell r="X196">
            <v>64.48</v>
          </cell>
          <cell r="AG196" t="str">
            <v>Senior Personnel</v>
          </cell>
        </row>
        <row r="197">
          <cell r="X197">
            <v>0.76</v>
          </cell>
          <cell r="AG197" t="str">
            <v>Senior Personnel</v>
          </cell>
        </row>
        <row r="198">
          <cell r="X198">
            <v>0.76</v>
          </cell>
          <cell r="AG198" t="str">
            <v>Senior Personnel</v>
          </cell>
        </row>
        <row r="199">
          <cell r="X199">
            <v>64.98</v>
          </cell>
          <cell r="AG199" t="str">
            <v>Senior Personnel</v>
          </cell>
        </row>
        <row r="200">
          <cell r="X200">
            <v>64.98</v>
          </cell>
          <cell r="AG200" t="str">
            <v>Senior Personnel</v>
          </cell>
        </row>
        <row r="201">
          <cell r="X201">
            <v>1.17</v>
          </cell>
          <cell r="AG201" t="str">
            <v>Senior Personnel</v>
          </cell>
        </row>
        <row r="202">
          <cell r="X202">
            <v>1.18</v>
          </cell>
          <cell r="AG202" t="str">
            <v>Senior Personnel</v>
          </cell>
        </row>
        <row r="203">
          <cell r="X203">
            <v>857.16</v>
          </cell>
          <cell r="AG203" t="str">
            <v>OPS</v>
          </cell>
        </row>
        <row r="204">
          <cell r="X204">
            <v>771.44</v>
          </cell>
          <cell r="AG204" t="str">
            <v>OPS</v>
          </cell>
        </row>
        <row r="205">
          <cell r="X205">
            <v>24</v>
          </cell>
          <cell r="AG205" t="str">
            <v>Domestic Travel</v>
          </cell>
        </row>
        <row r="206">
          <cell r="X206">
            <v>55</v>
          </cell>
          <cell r="AG206" t="str">
            <v>Domestic Travel</v>
          </cell>
        </row>
        <row r="207">
          <cell r="X207">
            <v>76</v>
          </cell>
          <cell r="AG207" t="str">
            <v>Domestic Travel</v>
          </cell>
        </row>
        <row r="208">
          <cell r="X208">
            <v>80</v>
          </cell>
          <cell r="AG208" t="str">
            <v>Domestic Travel</v>
          </cell>
        </row>
        <row r="209">
          <cell r="X209">
            <v>29.43</v>
          </cell>
          <cell r="AG209" t="str">
            <v>OPS</v>
          </cell>
        </row>
        <row r="210">
          <cell r="X210">
            <v>15.21</v>
          </cell>
          <cell r="AG210" t="str">
            <v>F&amp;A</v>
          </cell>
        </row>
        <row r="211">
          <cell r="X211">
            <v>13.83</v>
          </cell>
          <cell r="AG211" t="str">
            <v>F&amp;A</v>
          </cell>
        </row>
        <row r="212">
          <cell r="X212">
            <v>110.45</v>
          </cell>
          <cell r="AG212" t="str">
            <v>F&amp;A</v>
          </cell>
        </row>
        <row r="213">
          <cell r="X213">
            <v>1093.99</v>
          </cell>
          <cell r="AG213" t="str">
            <v>F&amp;A</v>
          </cell>
        </row>
        <row r="214">
          <cell r="X214">
            <v>1053.68</v>
          </cell>
          <cell r="AG214" t="str">
            <v>F&amp;A</v>
          </cell>
        </row>
        <row r="215">
          <cell r="X215">
            <v>1753.32</v>
          </cell>
          <cell r="AG215" t="str">
            <v>OPS</v>
          </cell>
        </row>
        <row r="216">
          <cell r="X216">
            <v>1753.32</v>
          </cell>
          <cell r="AG216" t="str">
            <v>OPS</v>
          </cell>
        </row>
        <row r="217">
          <cell r="X217">
            <v>496.5</v>
          </cell>
          <cell r="AG217" t="str">
            <v>Other</v>
          </cell>
        </row>
        <row r="218">
          <cell r="X218">
            <v>73</v>
          </cell>
          <cell r="AG218" t="str">
            <v>Material and Supplies</v>
          </cell>
        </row>
        <row r="219">
          <cell r="X219">
            <v>-0.73</v>
          </cell>
          <cell r="AG219" t="str">
            <v>Material and Supplies</v>
          </cell>
        </row>
        <row r="220">
          <cell r="X220">
            <v>119.46</v>
          </cell>
          <cell r="AG220" t="str">
            <v>Material and Supplies</v>
          </cell>
        </row>
        <row r="221">
          <cell r="X221">
            <v>-1.19</v>
          </cell>
          <cell r="AG221" t="str">
            <v>Material and Supplies</v>
          </cell>
        </row>
        <row r="222">
          <cell r="X222">
            <v>100</v>
          </cell>
          <cell r="AG222" t="str">
            <v>Material and Supplies</v>
          </cell>
        </row>
        <row r="223">
          <cell r="X223">
            <v>59.4</v>
          </cell>
          <cell r="AG223" t="str">
            <v>Material and Supplies</v>
          </cell>
        </row>
        <row r="224">
          <cell r="X224">
            <v>55</v>
          </cell>
          <cell r="AG224" t="str">
            <v>Other</v>
          </cell>
        </row>
        <row r="225">
          <cell r="X225">
            <v>44</v>
          </cell>
          <cell r="AG225" t="str">
            <v>Other</v>
          </cell>
        </row>
        <row r="226">
          <cell r="X226">
            <v>12.08</v>
          </cell>
          <cell r="AG226" t="str">
            <v>Other</v>
          </cell>
        </row>
        <row r="227">
          <cell r="X227">
            <v>28.05</v>
          </cell>
          <cell r="AG227" t="str">
            <v>OPS</v>
          </cell>
        </row>
        <row r="228">
          <cell r="X228">
            <v>453.95</v>
          </cell>
          <cell r="AG228" t="str">
            <v>Tuition</v>
          </cell>
        </row>
        <row r="229">
          <cell r="X229">
            <v>453.95</v>
          </cell>
          <cell r="AG229" t="str">
            <v>Tuition</v>
          </cell>
        </row>
        <row r="230">
          <cell r="X230">
            <v>13.18</v>
          </cell>
          <cell r="AG230" t="str">
            <v>F&amp;A</v>
          </cell>
        </row>
        <row r="231">
          <cell r="X231">
            <v>72.849999999999994</v>
          </cell>
          <cell r="AG231" t="str">
            <v>F&amp;A</v>
          </cell>
        </row>
        <row r="232">
          <cell r="X232">
            <v>287.64</v>
          </cell>
          <cell r="AG232" t="str">
            <v>F&amp;A</v>
          </cell>
        </row>
        <row r="233">
          <cell r="X233">
            <v>824.06</v>
          </cell>
          <cell r="AG233" t="str">
            <v>F&amp;A</v>
          </cell>
        </row>
        <row r="234">
          <cell r="X234">
            <v>89.56</v>
          </cell>
          <cell r="AG234" t="str">
            <v>F&amp;A</v>
          </cell>
        </row>
        <row r="235">
          <cell r="X235">
            <v>824.06</v>
          </cell>
          <cell r="AG235" t="str">
            <v>F&amp;A</v>
          </cell>
        </row>
        <row r="236">
          <cell r="X236">
            <v>1245.01</v>
          </cell>
          <cell r="AG236" t="str">
            <v>Senior Personnel</v>
          </cell>
        </row>
        <row r="237">
          <cell r="X237">
            <v>1257.44</v>
          </cell>
          <cell r="AG237" t="str">
            <v>Senior Personnel</v>
          </cell>
        </row>
        <row r="238">
          <cell r="X238">
            <v>32.369999999999997</v>
          </cell>
          <cell r="AG238" t="str">
            <v>Senior Personnel</v>
          </cell>
        </row>
        <row r="239">
          <cell r="X239">
            <v>76.239999999999995</v>
          </cell>
          <cell r="AG239" t="str">
            <v>Senior Personnel</v>
          </cell>
        </row>
        <row r="240">
          <cell r="X240">
            <v>77</v>
          </cell>
          <cell r="AG240" t="str">
            <v>Senior Personnel</v>
          </cell>
        </row>
        <row r="241">
          <cell r="X241">
            <v>17.829999999999998</v>
          </cell>
          <cell r="AG241" t="str">
            <v>Senior Personnel</v>
          </cell>
        </row>
        <row r="242">
          <cell r="X242">
            <v>18.02</v>
          </cell>
          <cell r="AG242" t="str">
            <v>Senior Personnel</v>
          </cell>
        </row>
        <row r="243">
          <cell r="X243">
            <v>64.510000000000005</v>
          </cell>
          <cell r="AG243" t="str">
            <v>Senior Personnel</v>
          </cell>
        </row>
        <row r="244">
          <cell r="X244">
            <v>65.14</v>
          </cell>
          <cell r="AG244" t="str">
            <v>Senior Personnel</v>
          </cell>
        </row>
        <row r="245">
          <cell r="X245">
            <v>0.76</v>
          </cell>
          <cell r="AG245" t="str">
            <v>Senior Personnel</v>
          </cell>
        </row>
        <row r="246">
          <cell r="X246">
            <v>0.76</v>
          </cell>
          <cell r="AG246" t="str">
            <v>Senior Personnel</v>
          </cell>
        </row>
        <row r="247">
          <cell r="X247">
            <v>64.97</v>
          </cell>
          <cell r="AG247" t="str">
            <v>Senior Personnel</v>
          </cell>
        </row>
        <row r="248">
          <cell r="X248">
            <v>64.98</v>
          </cell>
          <cell r="AG248" t="str">
            <v>Senior Personnel</v>
          </cell>
        </row>
        <row r="249">
          <cell r="X249">
            <v>1.18</v>
          </cell>
          <cell r="AG249" t="str">
            <v>Senior Personnel</v>
          </cell>
        </row>
        <row r="250">
          <cell r="X250">
            <v>1.18</v>
          </cell>
          <cell r="AG250" t="str">
            <v>Senior Personnel</v>
          </cell>
        </row>
        <row r="251">
          <cell r="X251">
            <v>857.16</v>
          </cell>
          <cell r="AG251" t="str">
            <v>OPS</v>
          </cell>
        </row>
        <row r="252">
          <cell r="X252">
            <v>857.16</v>
          </cell>
          <cell r="AG252" t="str">
            <v>OPS</v>
          </cell>
        </row>
        <row r="253">
          <cell r="X253">
            <v>28.83</v>
          </cell>
          <cell r="AG253" t="str">
            <v>OPS</v>
          </cell>
        </row>
        <row r="254">
          <cell r="X254">
            <v>704.68</v>
          </cell>
          <cell r="AG254" t="str">
            <v>Tuition</v>
          </cell>
        </row>
        <row r="255">
          <cell r="X255">
            <v>777.16</v>
          </cell>
          <cell r="AG255" t="str">
            <v>Tuition</v>
          </cell>
        </row>
        <row r="256">
          <cell r="X256">
            <v>15.21</v>
          </cell>
          <cell r="AG256" t="str">
            <v>F&amp;A</v>
          </cell>
        </row>
        <row r="257">
          <cell r="X257">
            <v>13.55</v>
          </cell>
          <cell r="AG257" t="str">
            <v>F&amp;A</v>
          </cell>
        </row>
        <row r="258">
          <cell r="X258">
            <v>1094</v>
          </cell>
          <cell r="AG258" t="str">
            <v>F&amp;A</v>
          </cell>
        </row>
        <row r="259">
          <cell r="X259">
            <v>1100.5999999999999</v>
          </cell>
          <cell r="AG259" t="str">
            <v>F&amp;A</v>
          </cell>
        </row>
        <row r="260">
          <cell r="X260">
            <v>947.09</v>
          </cell>
          <cell r="AG260" t="str">
            <v>OPS</v>
          </cell>
        </row>
        <row r="261">
          <cell r="X261">
            <v>857.5</v>
          </cell>
          <cell r="AG261" t="str">
            <v>OPS</v>
          </cell>
        </row>
        <row r="262">
          <cell r="X262">
            <v>127.5</v>
          </cell>
          <cell r="AG262" t="str">
            <v>Other</v>
          </cell>
        </row>
        <row r="263">
          <cell r="X263">
            <v>51</v>
          </cell>
          <cell r="AG263" t="str">
            <v>Other</v>
          </cell>
        </row>
        <row r="264">
          <cell r="X264">
            <v>79.03</v>
          </cell>
          <cell r="AG264" t="str">
            <v>Other</v>
          </cell>
        </row>
        <row r="265">
          <cell r="X265">
            <v>28.05</v>
          </cell>
          <cell r="AG265" t="str">
            <v>OPS</v>
          </cell>
        </row>
        <row r="266">
          <cell r="X266">
            <v>272.36</v>
          </cell>
          <cell r="AG266" t="str">
            <v>Tuition</v>
          </cell>
        </row>
        <row r="267">
          <cell r="X267">
            <v>272.36</v>
          </cell>
          <cell r="AG267" t="str">
            <v>Tuition</v>
          </cell>
        </row>
        <row r="268">
          <cell r="X268">
            <v>121.04</v>
          </cell>
          <cell r="AG268" t="str">
            <v>F&amp;A</v>
          </cell>
        </row>
        <row r="269">
          <cell r="X269">
            <v>445.13</v>
          </cell>
          <cell r="AG269" t="str">
            <v>F&amp;A</v>
          </cell>
        </row>
        <row r="270">
          <cell r="X270">
            <v>13.18</v>
          </cell>
          <cell r="AG270" t="str">
            <v>F&amp;A</v>
          </cell>
        </row>
        <row r="271">
          <cell r="X271">
            <v>403.03</v>
          </cell>
          <cell r="AG271" t="str">
            <v>F&amp;A</v>
          </cell>
        </row>
        <row r="272">
          <cell r="X272">
            <v>1257.44</v>
          </cell>
          <cell r="AG272" t="str">
            <v>Senior Personnel</v>
          </cell>
        </row>
        <row r="273">
          <cell r="X273">
            <v>32.53</v>
          </cell>
          <cell r="AG273" t="str">
            <v>Senior Personnel</v>
          </cell>
        </row>
        <row r="274">
          <cell r="X274">
            <v>77</v>
          </cell>
          <cell r="AG274" t="str">
            <v>Senior Personnel</v>
          </cell>
        </row>
        <row r="275">
          <cell r="X275">
            <v>18.010000000000002</v>
          </cell>
          <cell r="AG275" t="str">
            <v>Senior Personnel</v>
          </cell>
        </row>
        <row r="276">
          <cell r="X276">
            <v>65.14</v>
          </cell>
          <cell r="AG276" t="str">
            <v>Senior Personnel</v>
          </cell>
        </row>
        <row r="277">
          <cell r="X277">
            <v>0.76</v>
          </cell>
          <cell r="AG277" t="str">
            <v>Senior Personnel</v>
          </cell>
        </row>
        <row r="278">
          <cell r="X278">
            <v>64.98</v>
          </cell>
          <cell r="AG278" t="str">
            <v>Senior Personnel</v>
          </cell>
        </row>
        <row r="279">
          <cell r="X279">
            <v>1.18</v>
          </cell>
          <cell r="AG279" t="str">
            <v>Senior Personnel</v>
          </cell>
        </row>
        <row r="280">
          <cell r="X280">
            <v>857.16</v>
          </cell>
          <cell r="AG280" t="str">
            <v>OPS</v>
          </cell>
        </row>
        <row r="281">
          <cell r="X281">
            <v>857.16</v>
          </cell>
          <cell r="AG281" t="str">
            <v>OPS</v>
          </cell>
        </row>
        <row r="282">
          <cell r="X282">
            <v>670</v>
          </cell>
          <cell r="AG282" t="str">
            <v>Equipment</v>
          </cell>
        </row>
        <row r="283">
          <cell r="X283">
            <v>25</v>
          </cell>
          <cell r="AG283" t="str">
            <v>Other</v>
          </cell>
        </row>
        <row r="284">
          <cell r="X284">
            <v>29.52</v>
          </cell>
          <cell r="AG284" t="str">
            <v>OPS</v>
          </cell>
        </row>
        <row r="285">
          <cell r="X285">
            <v>740.84</v>
          </cell>
          <cell r="AG285" t="str">
            <v>Tuition</v>
          </cell>
        </row>
        <row r="286">
          <cell r="X286">
            <v>15.29</v>
          </cell>
          <cell r="AG286" t="str">
            <v>F&amp;A</v>
          </cell>
        </row>
        <row r="287">
          <cell r="X287">
            <v>13.87</v>
          </cell>
          <cell r="AG287" t="str">
            <v>F&amp;A</v>
          </cell>
        </row>
        <row r="288">
          <cell r="X288">
            <v>1100.5899999999999</v>
          </cell>
          <cell r="AG288" t="str">
            <v>F&amp;A</v>
          </cell>
        </row>
        <row r="289">
          <cell r="X289">
            <v>402.87</v>
          </cell>
          <cell r="AG289" t="str">
            <v>F&amp;A</v>
          </cell>
        </row>
        <row r="290">
          <cell r="X290">
            <v>326.64999999999998</v>
          </cell>
          <cell r="AG290" t="str">
            <v>F&amp;A</v>
          </cell>
        </row>
        <row r="291">
          <cell r="X291">
            <v>857.5</v>
          </cell>
          <cell r="AG291" t="str">
            <v>OPS</v>
          </cell>
        </row>
        <row r="292">
          <cell r="X292">
            <v>857.5</v>
          </cell>
          <cell r="AG292" t="str">
            <v>OPS</v>
          </cell>
        </row>
        <row r="293">
          <cell r="X293">
            <v>85</v>
          </cell>
          <cell r="AG293" t="str">
            <v>Equipment</v>
          </cell>
        </row>
        <row r="294">
          <cell r="X294">
            <v>374.18</v>
          </cell>
          <cell r="AG294" t="str">
            <v>Material and Supplies</v>
          </cell>
        </row>
        <row r="295">
          <cell r="X295">
            <v>-3.74</v>
          </cell>
          <cell r="AG295" t="str">
            <v>Material and Supplies</v>
          </cell>
        </row>
        <row r="296">
          <cell r="X296">
            <v>79.599999999999994</v>
          </cell>
          <cell r="AG296" t="str">
            <v>Material and Supplies</v>
          </cell>
        </row>
        <row r="297">
          <cell r="X297">
            <v>5.5</v>
          </cell>
          <cell r="AG297" t="str">
            <v>Material and Supplies</v>
          </cell>
        </row>
        <row r="298">
          <cell r="X298">
            <v>14.44</v>
          </cell>
          <cell r="AG298" t="str">
            <v>OPS</v>
          </cell>
        </row>
        <row r="299">
          <cell r="X299">
            <v>384.47</v>
          </cell>
          <cell r="AG299" t="str">
            <v>Tuition</v>
          </cell>
        </row>
        <row r="300">
          <cell r="X300">
            <v>427.19</v>
          </cell>
          <cell r="AG300" t="str">
            <v>Tuition</v>
          </cell>
        </row>
        <row r="301">
          <cell r="X301">
            <v>6.79</v>
          </cell>
          <cell r="AG301" t="str">
            <v>F&amp;A</v>
          </cell>
        </row>
        <row r="302">
          <cell r="X302">
            <v>403.03</v>
          </cell>
          <cell r="AG302" t="str">
            <v>F&amp;A</v>
          </cell>
        </row>
        <row r="303">
          <cell r="X303">
            <v>403.03</v>
          </cell>
          <cell r="AG303" t="str">
            <v>F&amp;A</v>
          </cell>
        </row>
        <row r="304">
          <cell r="X304">
            <v>40</v>
          </cell>
          <cell r="AG304" t="str">
            <v>F&amp;A</v>
          </cell>
        </row>
        <row r="305">
          <cell r="X305">
            <v>174.1</v>
          </cell>
          <cell r="AG305" t="str">
            <v>F&amp;A</v>
          </cell>
        </row>
        <row r="306">
          <cell r="X306">
            <v>39.950000000000003</v>
          </cell>
          <cell r="AG306" t="str">
            <v>F&amp;A</v>
          </cell>
        </row>
        <row r="307">
          <cell r="X307">
            <v>16.350000000000001</v>
          </cell>
          <cell r="AG307" t="str">
            <v>Senior Personnel</v>
          </cell>
        </row>
        <row r="308">
          <cell r="X308">
            <v>857.16</v>
          </cell>
          <cell r="AG308" t="str">
            <v>OPS</v>
          </cell>
        </row>
        <row r="309">
          <cell r="X309">
            <v>857.16</v>
          </cell>
          <cell r="AG309" t="str">
            <v>OPS</v>
          </cell>
        </row>
        <row r="310">
          <cell r="X310">
            <v>315</v>
          </cell>
          <cell r="AG310" t="str">
            <v>Other</v>
          </cell>
        </row>
        <row r="311">
          <cell r="X311">
            <v>85</v>
          </cell>
          <cell r="AG311" t="str">
            <v>Equipment</v>
          </cell>
        </row>
        <row r="312">
          <cell r="X312">
            <v>13</v>
          </cell>
          <cell r="AG312" t="str">
            <v>Other</v>
          </cell>
        </row>
        <row r="313">
          <cell r="X313">
            <v>20.8</v>
          </cell>
          <cell r="AG313" t="str">
            <v>OPS</v>
          </cell>
        </row>
        <row r="314">
          <cell r="X314">
            <v>740.84</v>
          </cell>
          <cell r="AG314" t="str">
            <v>Tuition</v>
          </cell>
        </row>
        <row r="315">
          <cell r="X315">
            <v>7.68</v>
          </cell>
          <cell r="AG315" t="str">
            <v>F&amp;A</v>
          </cell>
        </row>
        <row r="316">
          <cell r="X316">
            <v>9.7799999999999994</v>
          </cell>
          <cell r="AG316" t="str">
            <v>F&amp;A</v>
          </cell>
        </row>
        <row r="317">
          <cell r="X317">
            <v>402.87</v>
          </cell>
          <cell r="AG317" t="str">
            <v>F&amp;A</v>
          </cell>
        </row>
        <row r="318">
          <cell r="X318">
            <v>402.87</v>
          </cell>
          <cell r="AG318" t="str">
            <v>F&amp;A</v>
          </cell>
        </row>
        <row r="319">
          <cell r="X319">
            <v>194.11</v>
          </cell>
          <cell r="AG319" t="str">
            <v>F&amp;A</v>
          </cell>
        </row>
        <row r="320">
          <cell r="X320">
            <v>857.5</v>
          </cell>
          <cell r="AG320" t="str">
            <v>OPS</v>
          </cell>
        </row>
        <row r="321">
          <cell r="X321">
            <v>857.5</v>
          </cell>
          <cell r="AG321" t="str">
            <v>OPS</v>
          </cell>
        </row>
        <row r="322">
          <cell r="X322">
            <v>242</v>
          </cell>
          <cell r="AG322" t="str">
            <v>Other</v>
          </cell>
        </row>
        <row r="323">
          <cell r="X323">
            <v>58.8</v>
          </cell>
          <cell r="AG323" t="str">
            <v>Other</v>
          </cell>
        </row>
        <row r="324">
          <cell r="X324">
            <v>29.4</v>
          </cell>
          <cell r="AG324" t="str">
            <v>Other</v>
          </cell>
        </row>
        <row r="325">
          <cell r="X325">
            <v>29.4</v>
          </cell>
          <cell r="AG325" t="str">
            <v>Other</v>
          </cell>
        </row>
        <row r="326">
          <cell r="X326">
            <v>35</v>
          </cell>
          <cell r="AG326" t="str">
            <v>Other</v>
          </cell>
        </row>
        <row r="327">
          <cell r="X327">
            <v>11.42</v>
          </cell>
          <cell r="AG327" t="str">
            <v>Other</v>
          </cell>
        </row>
        <row r="328">
          <cell r="X328">
            <v>11.42</v>
          </cell>
          <cell r="AG328" t="str">
            <v>Other</v>
          </cell>
        </row>
        <row r="329">
          <cell r="X329">
            <v>13.72</v>
          </cell>
          <cell r="AG329" t="str">
            <v>OPS</v>
          </cell>
        </row>
        <row r="330">
          <cell r="X330">
            <v>427.08</v>
          </cell>
          <cell r="AG330" t="str">
            <v>Tuition</v>
          </cell>
        </row>
        <row r="331">
          <cell r="X331">
            <v>427.08</v>
          </cell>
          <cell r="AG331" t="str">
            <v>Tuition</v>
          </cell>
        </row>
        <row r="332">
          <cell r="X332">
            <v>427.08</v>
          </cell>
          <cell r="AG332" t="str">
            <v>Tuition</v>
          </cell>
        </row>
        <row r="333">
          <cell r="X333">
            <v>6.45</v>
          </cell>
          <cell r="AG333" t="str">
            <v>F&amp;A</v>
          </cell>
        </row>
        <row r="334">
          <cell r="X334">
            <v>403.03</v>
          </cell>
          <cell r="AG334" t="str">
            <v>F&amp;A</v>
          </cell>
        </row>
        <row r="335">
          <cell r="X335">
            <v>130.19</v>
          </cell>
          <cell r="AG335" t="str">
            <v>F&amp;A</v>
          </cell>
        </row>
        <row r="336">
          <cell r="X336">
            <v>403.03</v>
          </cell>
          <cell r="AG336" t="str">
            <v>F&amp;A</v>
          </cell>
        </row>
        <row r="337">
          <cell r="X337">
            <v>66.02</v>
          </cell>
          <cell r="AG337" t="str">
            <v>F&amp;A</v>
          </cell>
        </row>
        <row r="338">
          <cell r="X338">
            <v>857.16</v>
          </cell>
          <cell r="AG338" t="str">
            <v>OPS</v>
          </cell>
        </row>
        <row r="339">
          <cell r="X339">
            <v>857.16</v>
          </cell>
          <cell r="AG339" t="str">
            <v>OPS</v>
          </cell>
        </row>
        <row r="340">
          <cell r="X340">
            <v>857.16</v>
          </cell>
          <cell r="AG340" t="str">
            <v>OPS</v>
          </cell>
        </row>
        <row r="341">
          <cell r="X341">
            <v>115</v>
          </cell>
          <cell r="AG341" t="str">
            <v>Other</v>
          </cell>
        </row>
        <row r="342">
          <cell r="X342">
            <v>69</v>
          </cell>
          <cell r="AG342" t="str">
            <v>Other</v>
          </cell>
        </row>
        <row r="343">
          <cell r="X343">
            <v>82.2</v>
          </cell>
          <cell r="AG343" t="str">
            <v>Other</v>
          </cell>
        </row>
        <row r="344">
          <cell r="X344">
            <v>290</v>
          </cell>
          <cell r="AG344" t="str">
            <v>Domestic Travel</v>
          </cell>
        </row>
        <row r="345">
          <cell r="X345">
            <v>430</v>
          </cell>
          <cell r="AG345" t="str">
            <v>Domestic Travel</v>
          </cell>
        </row>
        <row r="346">
          <cell r="X346">
            <v>100</v>
          </cell>
          <cell r="AG346" t="str">
            <v>Domestic Travel</v>
          </cell>
        </row>
        <row r="347">
          <cell r="X347">
            <v>616.04</v>
          </cell>
          <cell r="AG347" t="str">
            <v>Domestic Travel</v>
          </cell>
        </row>
        <row r="348">
          <cell r="X348">
            <v>29.5</v>
          </cell>
          <cell r="AG348" t="str">
            <v>Other</v>
          </cell>
        </row>
        <row r="349">
          <cell r="X349">
            <v>11.99</v>
          </cell>
          <cell r="AG349" t="str">
            <v>Other</v>
          </cell>
        </row>
        <row r="350">
          <cell r="X350">
            <v>12</v>
          </cell>
          <cell r="AG350" t="str">
            <v>OPS</v>
          </cell>
        </row>
        <row r="351">
          <cell r="X351">
            <v>740.84</v>
          </cell>
          <cell r="AG351" t="str">
            <v>Tuition</v>
          </cell>
        </row>
        <row r="352">
          <cell r="X352">
            <v>5.64</v>
          </cell>
          <cell r="AG352" t="str">
            <v>F&amp;A</v>
          </cell>
        </row>
        <row r="353">
          <cell r="X353">
            <v>402.87</v>
          </cell>
          <cell r="AG353" t="str">
            <v>F&amp;A</v>
          </cell>
        </row>
        <row r="354">
          <cell r="X354">
            <v>402.87</v>
          </cell>
          <cell r="AG354" t="str">
            <v>F&amp;A</v>
          </cell>
        </row>
        <row r="355">
          <cell r="X355">
            <v>674.94</v>
          </cell>
          <cell r="AG355" t="str">
            <v>F&amp;A</v>
          </cell>
        </row>
        <row r="356">
          <cell r="X356">
            <v>100.35</v>
          </cell>
          <cell r="AG356" t="str">
            <v>F&amp;A</v>
          </cell>
        </row>
        <row r="357">
          <cell r="X357">
            <v>44.27</v>
          </cell>
          <cell r="AG357" t="str">
            <v>F&amp;A</v>
          </cell>
        </row>
        <row r="358">
          <cell r="X358">
            <v>857.5</v>
          </cell>
          <cell r="AG358" t="str">
            <v>OPS</v>
          </cell>
        </row>
        <row r="359">
          <cell r="X359">
            <v>857.5</v>
          </cell>
          <cell r="AG359" t="str">
            <v>OPS</v>
          </cell>
        </row>
        <row r="360">
          <cell r="X360">
            <v>857.5</v>
          </cell>
          <cell r="AG360" t="str">
            <v>OPS</v>
          </cell>
        </row>
        <row r="361">
          <cell r="X361">
            <v>178.27</v>
          </cell>
          <cell r="AG361" t="str">
            <v>Other</v>
          </cell>
        </row>
        <row r="362">
          <cell r="X362">
            <v>-1.78</v>
          </cell>
          <cell r="AG362" t="str">
            <v>Other</v>
          </cell>
        </row>
        <row r="363">
          <cell r="X363">
            <v>352</v>
          </cell>
          <cell r="AG363" t="str">
            <v>Other</v>
          </cell>
        </row>
        <row r="364">
          <cell r="X364">
            <v>41</v>
          </cell>
          <cell r="AG364" t="str">
            <v>Other</v>
          </cell>
        </row>
        <row r="365">
          <cell r="X365">
            <v>13.72</v>
          </cell>
          <cell r="AG365" t="str">
            <v>OPS</v>
          </cell>
        </row>
        <row r="366">
          <cell r="X366">
            <v>384.48</v>
          </cell>
          <cell r="AG366" t="str">
            <v>Tuition</v>
          </cell>
        </row>
        <row r="367">
          <cell r="X367">
            <v>-384.48</v>
          </cell>
          <cell r="AG367" t="str">
            <v>Tuition</v>
          </cell>
        </row>
        <row r="368">
          <cell r="X368">
            <v>427.2</v>
          </cell>
          <cell r="AG368" t="str">
            <v>Tuition</v>
          </cell>
        </row>
        <row r="369">
          <cell r="X369">
            <v>-427.2</v>
          </cell>
          <cell r="AG369" t="str">
            <v>Tuition</v>
          </cell>
        </row>
        <row r="370">
          <cell r="X370">
            <v>427.1</v>
          </cell>
          <cell r="AG370" t="str">
            <v>Tuition</v>
          </cell>
        </row>
        <row r="371">
          <cell r="X371">
            <v>-427.08</v>
          </cell>
          <cell r="AG371" t="str">
            <v>Tuition</v>
          </cell>
        </row>
        <row r="372">
          <cell r="X372">
            <v>427.1</v>
          </cell>
          <cell r="AG372" t="str">
            <v>Tuition</v>
          </cell>
        </row>
        <row r="373">
          <cell r="X373">
            <v>-427.08</v>
          </cell>
          <cell r="AG373" t="str">
            <v>Tuition</v>
          </cell>
        </row>
        <row r="374">
          <cell r="X374">
            <v>427.1</v>
          </cell>
          <cell r="AG374" t="str">
            <v>Tuition</v>
          </cell>
        </row>
        <row r="375">
          <cell r="X375">
            <v>-427.08</v>
          </cell>
          <cell r="AG375" t="str">
            <v>Tuition</v>
          </cell>
        </row>
        <row r="376">
          <cell r="X376">
            <v>427.08</v>
          </cell>
          <cell r="AG376" t="str">
            <v>Tuition</v>
          </cell>
        </row>
        <row r="377">
          <cell r="X377">
            <v>427.08</v>
          </cell>
          <cell r="AG377" t="str">
            <v>Tuition</v>
          </cell>
        </row>
        <row r="378">
          <cell r="X378">
            <v>82.95</v>
          </cell>
          <cell r="AG378" t="str">
            <v>F&amp;A</v>
          </cell>
        </row>
        <row r="379">
          <cell r="X379">
            <v>403.03</v>
          </cell>
          <cell r="AG379" t="str">
            <v>F&amp;A</v>
          </cell>
        </row>
        <row r="380">
          <cell r="X380">
            <v>184.71</v>
          </cell>
          <cell r="AG380" t="str">
            <v>F&amp;A</v>
          </cell>
        </row>
        <row r="381">
          <cell r="X381">
            <v>403.03</v>
          </cell>
          <cell r="AG381" t="str">
            <v>F&amp;A</v>
          </cell>
        </row>
        <row r="382">
          <cell r="X382">
            <v>6.45</v>
          </cell>
          <cell r="AG382" t="str">
            <v>F&amp;A</v>
          </cell>
        </row>
        <row r="383">
          <cell r="X383">
            <v>403.03</v>
          </cell>
          <cell r="AG383" t="str">
            <v>F&amp;A</v>
          </cell>
        </row>
        <row r="384">
          <cell r="X384">
            <v>902.24</v>
          </cell>
          <cell r="AG384" t="str">
            <v>Senior Personnel</v>
          </cell>
        </row>
        <row r="385">
          <cell r="X385">
            <v>4511.18</v>
          </cell>
          <cell r="AG385" t="str">
            <v>Senior Personnel</v>
          </cell>
        </row>
        <row r="386">
          <cell r="X386">
            <v>55.94</v>
          </cell>
          <cell r="AG386" t="str">
            <v>Senior Personnel</v>
          </cell>
        </row>
        <row r="387">
          <cell r="X387">
            <v>279.69</v>
          </cell>
          <cell r="AG387" t="str">
            <v>Senior Personnel</v>
          </cell>
        </row>
        <row r="388">
          <cell r="X388">
            <v>13.08</v>
          </cell>
          <cell r="AG388" t="str">
            <v>Senior Personnel</v>
          </cell>
        </row>
        <row r="389">
          <cell r="X389">
            <v>65.41</v>
          </cell>
          <cell r="AG389" t="str">
            <v>Senior Personnel</v>
          </cell>
        </row>
        <row r="390">
          <cell r="X390">
            <v>50.89</v>
          </cell>
          <cell r="AG390" t="str">
            <v>Senior Personnel</v>
          </cell>
        </row>
        <row r="391">
          <cell r="X391">
            <v>254.43</v>
          </cell>
          <cell r="AG391" t="str">
            <v>Senior Personnel</v>
          </cell>
        </row>
        <row r="392">
          <cell r="X392">
            <v>942.98</v>
          </cell>
          <cell r="AG392" t="str">
            <v>OPS</v>
          </cell>
        </row>
        <row r="393">
          <cell r="X393">
            <v>857.5</v>
          </cell>
          <cell r="AG393" t="str">
            <v>OPS</v>
          </cell>
        </row>
        <row r="394">
          <cell r="X394">
            <v>48.2</v>
          </cell>
          <cell r="AG394" t="str">
            <v>Other</v>
          </cell>
        </row>
        <row r="395">
          <cell r="X395">
            <v>48.2</v>
          </cell>
          <cell r="AG395" t="str">
            <v>Other</v>
          </cell>
        </row>
        <row r="396">
          <cell r="X396">
            <v>48.2</v>
          </cell>
          <cell r="AG396" t="str">
            <v>Other</v>
          </cell>
        </row>
        <row r="397">
          <cell r="X397">
            <v>49.5</v>
          </cell>
          <cell r="AG397" t="str">
            <v>Other</v>
          </cell>
        </row>
        <row r="398">
          <cell r="X398">
            <v>259</v>
          </cell>
          <cell r="AG398" t="str">
            <v>Other</v>
          </cell>
        </row>
        <row r="399">
          <cell r="X399">
            <v>210</v>
          </cell>
          <cell r="AG399" t="str">
            <v>Other</v>
          </cell>
        </row>
        <row r="400">
          <cell r="X400">
            <v>7.19</v>
          </cell>
          <cell r="AG400" t="str">
            <v>Other</v>
          </cell>
        </row>
        <row r="401">
          <cell r="X401">
            <v>761.6</v>
          </cell>
          <cell r="AG401" t="str">
            <v>Domestic Travel</v>
          </cell>
        </row>
        <row r="402">
          <cell r="X402">
            <v>761.6</v>
          </cell>
          <cell r="AG402" t="str">
            <v>Domestic Travel</v>
          </cell>
        </row>
        <row r="403">
          <cell r="X403">
            <v>6.99</v>
          </cell>
          <cell r="AG403" t="str">
            <v>Domestic Travel</v>
          </cell>
        </row>
        <row r="404">
          <cell r="X404">
            <v>582.58000000000004</v>
          </cell>
          <cell r="AG404" t="str">
            <v>Domestic Travel</v>
          </cell>
        </row>
        <row r="405">
          <cell r="X405">
            <v>12.03</v>
          </cell>
          <cell r="AG405" t="str">
            <v>Other</v>
          </cell>
        </row>
        <row r="406">
          <cell r="X406">
            <v>29.5</v>
          </cell>
          <cell r="AG406" t="str">
            <v>Other</v>
          </cell>
        </row>
        <row r="407">
          <cell r="X407">
            <v>18</v>
          </cell>
          <cell r="AG407" t="str">
            <v>OPS</v>
          </cell>
        </row>
        <row r="408">
          <cell r="X408">
            <v>631.91</v>
          </cell>
          <cell r="AG408" t="str">
            <v>Tuition</v>
          </cell>
        </row>
        <row r="409">
          <cell r="X409">
            <v>402.87</v>
          </cell>
          <cell r="AG409" t="str">
            <v>F&amp;A</v>
          </cell>
        </row>
        <row r="410">
          <cell r="X410">
            <v>8.4600000000000009</v>
          </cell>
          <cell r="AG410" t="str">
            <v>F&amp;A</v>
          </cell>
        </row>
        <row r="411">
          <cell r="X411">
            <v>67.95</v>
          </cell>
          <cell r="AG411" t="str">
            <v>F&amp;A</v>
          </cell>
        </row>
        <row r="412">
          <cell r="X412">
            <v>715.9</v>
          </cell>
          <cell r="AG412" t="str">
            <v>F&amp;A</v>
          </cell>
        </row>
        <row r="413">
          <cell r="X413">
            <v>923.61</v>
          </cell>
          <cell r="AG413" t="str">
            <v>F&amp;A</v>
          </cell>
        </row>
        <row r="414">
          <cell r="X414">
            <v>543.70000000000005</v>
          </cell>
          <cell r="AG414" t="str">
            <v>F&amp;A</v>
          </cell>
        </row>
        <row r="415">
          <cell r="X415">
            <v>2805.05</v>
          </cell>
          <cell r="AG415" t="str">
            <v>F&amp;A</v>
          </cell>
        </row>
        <row r="416">
          <cell r="X416">
            <v>172.01</v>
          </cell>
          <cell r="AG416" t="str">
            <v>Senior Personnel</v>
          </cell>
        </row>
        <row r="417">
          <cell r="X417">
            <v>1720.1</v>
          </cell>
          <cell r="AG417" t="str">
            <v>Senior Personnel</v>
          </cell>
        </row>
        <row r="418">
          <cell r="X418">
            <v>467.37</v>
          </cell>
          <cell r="AG418" t="str">
            <v>Senior Personnel</v>
          </cell>
        </row>
        <row r="419">
          <cell r="X419">
            <v>4673.78</v>
          </cell>
          <cell r="AG419" t="str">
            <v>Senior Personnel</v>
          </cell>
        </row>
        <row r="420">
          <cell r="X420">
            <v>39.47</v>
          </cell>
          <cell r="AG420" t="str">
            <v>Senior Personnel</v>
          </cell>
        </row>
        <row r="421">
          <cell r="X421">
            <v>396.42</v>
          </cell>
          <cell r="AG421" t="str">
            <v>Senior Personnel</v>
          </cell>
        </row>
        <row r="422">
          <cell r="X422">
            <v>9.23</v>
          </cell>
          <cell r="AG422" t="str">
            <v>Senior Personnel</v>
          </cell>
        </row>
        <row r="423">
          <cell r="X423">
            <v>92.71</v>
          </cell>
          <cell r="AG423" t="str">
            <v>Senior Personnel</v>
          </cell>
        </row>
        <row r="424">
          <cell r="X424">
            <v>34.31</v>
          </cell>
          <cell r="AG424" t="str">
            <v>Senior Personnel</v>
          </cell>
        </row>
        <row r="425">
          <cell r="X425">
            <v>343.06</v>
          </cell>
          <cell r="AG425" t="str">
            <v>Senior Personnel</v>
          </cell>
        </row>
        <row r="426">
          <cell r="X426">
            <v>11.95</v>
          </cell>
          <cell r="AG426" t="str">
            <v>Senior Personnel</v>
          </cell>
        </row>
        <row r="427">
          <cell r="X427">
            <v>119.55</v>
          </cell>
          <cell r="AG427" t="str">
            <v>Senior Personnel</v>
          </cell>
        </row>
        <row r="428">
          <cell r="X428">
            <v>0.16</v>
          </cell>
          <cell r="AG428" t="str">
            <v>Senior Personnel</v>
          </cell>
        </row>
        <row r="429">
          <cell r="X429">
            <v>20.399999999999999</v>
          </cell>
          <cell r="AG429" t="str">
            <v>Senior Personnel</v>
          </cell>
        </row>
        <row r="430">
          <cell r="X430">
            <v>0.16</v>
          </cell>
          <cell r="AG430" t="str">
            <v>Senior Personnel</v>
          </cell>
        </row>
        <row r="431">
          <cell r="X431">
            <v>943.25</v>
          </cell>
          <cell r="AG431" t="str">
            <v>OPS</v>
          </cell>
        </row>
        <row r="432">
          <cell r="X432">
            <v>1715</v>
          </cell>
          <cell r="AG432" t="str">
            <v>OPS</v>
          </cell>
        </row>
        <row r="433">
          <cell r="X433">
            <v>117.95</v>
          </cell>
          <cell r="AG433" t="str">
            <v>Material and Supplies</v>
          </cell>
        </row>
        <row r="434">
          <cell r="X434">
            <v>6.05</v>
          </cell>
          <cell r="AG434" t="str">
            <v>Other</v>
          </cell>
        </row>
        <row r="435">
          <cell r="X435">
            <v>20.58</v>
          </cell>
          <cell r="AG435" t="str">
            <v>OPS</v>
          </cell>
        </row>
        <row r="436">
          <cell r="X436">
            <v>427.08</v>
          </cell>
          <cell r="AG436" t="str">
            <v>Tuition</v>
          </cell>
        </row>
        <row r="437">
          <cell r="X437">
            <v>798.22</v>
          </cell>
          <cell r="AG437" t="str">
            <v>F&amp;A</v>
          </cell>
        </row>
        <row r="438">
          <cell r="X438">
            <v>58.28</v>
          </cell>
          <cell r="AG438" t="str">
            <v>F&amp;A</v>
          </cell>
        </row>
        <row r="439">
          <cell r="X439">
            <v>4258.5</v>
          </cell>
          <cell r="AG439" t="str">
            <v>F&amp;A</v>
          </cell>
        </row>
        <row r="440">
          <cell r="X440">
            <v>49</v>
          </cell>
          <cell r="AG440" t="str">
            <v>Material and Supplies</v>
          </cell>
        </row>
        <row r="441">
          <cell r="X441">
            <v>23.03</v>
          </cell>
          <cell r="AG441" t="str">
            <v>F&amp;A</v>
          </cell>
        </row>
        <row r="442">
          <cell r="X442">
            <v>4060.08</v>
          </cell>
          <cell r="AG442" t="str">
            <v>Senior Personnel</v>
          </cell>
        </row>
        <row r="443">
          <cell r="X443">
            <v>70.37</v>
          </cell>
          <cell r="AG443" t="str">
            <v>Senior Personnel</v>
          </cell>
        </row>
        <row r="444">
          <cell r="X444">
            <v>251.73</v>
          </cell>
          <cell r="AG444" t="str">
            <v>Senior Personnel</v>
          </cell>
        </row>
        <row r="445">
          <cell r="X445">
            <v>58.87</v>
          </cell>
          <cell r="AG445" t="str">
            <v>Senior Personnel</v>
          </cell>
        </row>
        <row r="446">
          <cell r="X446">
            <v>228.99</v>
          </cell>
          <cell r="AG446" t="str">
            <v>Senior Personnel</v>
          </cell>
        </row>
        <row r="447">
          <cell r="X447">
            <v>857.5</v>
          </cell>
          <cell r="AG447" t="str">
            <v>OPS</v>
          </cell>
        </row>
        <row r="448">
          <cell r="X448">
            <v>857.5</v>
          </cell>
          <cell r="AG448" t="str">
            <v>OPS</v>
          </cell>
        </row>
        <row r="449">
          <cell r="X449">
            <v>100</v>
          </cell>
          <cell r="AG449" t="str">
            <v>Other</v>
          </cell>
        </row>
        <row r="450">
          <cell r="X450">
            <v>21</v>
          </cell>
          <cell r="AG450" t="str">
            <v>Domestic Travel</v>
          </cell>
        </row>
        <row r="451">
          <cell r="X451">
            <v>24</v>
          </cell>
          <cell r="AG451" t="str">
            <v>Domestic Travel</v>
          </cell>
        </row>
        <row r="452">
          <cell r="X452">
            <v>55</v>
          </cell>
          <cell r="AG452" t="str">
            <v>Domestic Travel</v>
          </cell>
        </row>
        <row r="453">
          <cell r="X453">
            <v>95</v>
          </cell>
          <cell r="AG453" t="str">
            <v>Domestic Travel</v>
          </cell>
        </row>
        <row r="454">
          <cell r="X454">
            <v>144</v>
          </cell>
          <cell r="AG454" t="str">
            <v>Domestic Travel</v>
          </cell>
        </row>
        <row r="455">
          <cell r="X455">
            <v>24</v>
          </cell>
          <cell r="AG455" t="str">
            <v>Domestic Travel</v>
          </cell>
        </row>
        <row r="456">
          <cell r="X456">
            <v>55</v>
          </cell>
          <cell r="AG456" t="str">
            <v>Domestic Travel</v>
          </cell>
        </row>
        <row r="457">
          <cell r="X457">
            <v>95</v>
          </cell>
          <cell r="AG457" t="str">
            <v>Domestic Travel</v>
          </cell>
        </row>
        <row r="458">
          <cell r="X458">
            <v>12.23</v>
          </cell>
          <cell r="AG458" t="str">
            <v>Other</v>
          </cell>
        </row>
        <row r="459">
          <cell r="X459">
            <v>50.5</v>
          </cell>
          <cell r="AG459" t="str">
            <v>OPS</v>
          </cell>
        </row>
        <row r="460">
          <cell r="X460">
            <v>99.31</v>
          </cell>
          <cell r="AG460" t="str">
            <v>Tuition</v>
          </cell>
        </row>
        <row r="461">
          <cell r="X461">
            <v>968.55</v>
          </cell>
          <cell r="AG461" t="str">
            <v>Tuition</v>
          </cell>
        </row>
        <row r="462">
          <cell r="X462">
            <v>1331.7</v>
          </cell>
          <cell r="AG462" t="str">
            <v>Tuition</v>
          </cell>
        </row>
        <row r="463">
          <cell r="X463">
            <v>159.33000000000001</v>
          </cell>
          <cell r="AG463" t="str">
            <v>F&amp;A</v>
          </cell>
        </row>
        <row r="464">
          <cell r="X464">
            <v>33.07</v>
          </cell>
          <cell r="AG464" t="str">
            <v>F&amp;A</v>
          </cell>
        </row>
        <row r="465">
          <cell r="X465">
            <v>23.74</v>
          </cell>
          <cell r="AG465" t="str">
            <v>F&amp;A</v>
          </cell>
        </row>
        <row r="466">
          <cell r="X466">
            <v>134.53</v>
          </cell>
          <cell r="AG466" t="str">
            <v>F&amp;A</v>
          </cell>
        </row>
        <row r="467">
          <cell r="X467">
            <v>2564.88</v>
          </cell>
          <cell r="AG467" t="str">
            <v>F&amp;A</v>
          </cell>
        </row>
        <row r="468">
          <cell r="X468">
            <v>403.03</v>
          </cell>
          <cell r="AG468" t="str">
            <v>F&amp;A</v>
          </cell>
        </row>
        <row r="469">
          <cell r="X469">
            <v>1720.09</v>
          </cell>
          <cell r="AG469" t="str">
            <v>Senior Personnel</v>
          </cell>
        </row>
        <row r="470">
          <cell r="X470">
            <v>1720.1</v>
          </cell>
          <cell r="AG470" t="str">
            <v>Senior Personnel</v>
          </cell>
        </row>
        <row r="471">
          <cell r="X471">
            <v>4673.78</v>
          </cell>
          <cell r="AG471" t="str">
            <v>Senior Personnel</v>
          </cell>
        </row>
        <row r="472">
          <cell r="X472">
            <v>126.6</v>
          </cell>
          <cell r="AG472" t="str">
            <v>Senior Personnel</v>
          </cell>
        </row>
        <row r="473">
          <cell r="X473">
            <v>394.81</v>
          </cell>
          <cell r="AG473" t="str">
            <v>Senior Personnel</v>
          </cell>
        </row>
        <row r="474">
          <cell r="X474">
            <v>104.86</v>
          </cell>
          <cell r="AG474" t="str">
            <v>Senior Personnel</v>
          </cell>
        </row>
        <row r="475">
          <cell r="X475">
            <v>92.34</v>
          </cell>
          <cell r="AG475" t="str">
            <v>Senior Personnel</v>
          </cell>
        </row>
        <row r="476">
          <cell r="X476">
            <v>24.53</v>
          </cell>
          <cell r="AG476" t="str">
            <v>Senior Personnel</v>
          </cell>
        </row>
        <row r="477">
          <cell r="X477">
            <v>304.02999999999997</v>
          </cell>
          <cell r="AG477" t="str">
            <v>Senior Personnel</v>
          </cell>
        </row>
        <row r="478">
          <cell r="X478">
            <v>119.56</v>
          </cell>
          <cell r="AG478" t="str">
            <v>Senior Personnel</v>
          </cell>
        </row>
        <row r="479">
          <cell r="X479">
            <v>119.54</v>
          </cell>
          <cell r="AG479" t="str">
            <v>Senior Personnel</v>
          </cell>
        </row>
        <row r="480">
          <cell r="X480">
            <v>1.67</v>
          </cell>
          <cell r="AG480" t="str">
            <v>Senior Personnel</v>
          </cell>
        </row>
        <row r="481">
          <cell r="X481">
            <v>1.67</v>
          </cell>
          <cell r="AG481" t="str">
            <v>Senior Personnel</v>
          </cell>
        </row>
        <row r="482">
          <cell r="X482">
            <v>204.08</v>
          </cell>
          <cell r="AG482" t="str">
            <v>Senior Personnel</v>
          </cell>
        </row>
        <row r="483">
          <cell r="X483">
            <v>204.08</v>
          </cell>
          <cell r="AG483" t="str">
            <v>Senior Personnel</v>
          </cell>
        </row>
        <row r="484">
          <cell r="X484">
            <v>1.57</v>
          </cell>
          <cell r="AG484" t="str">
            <v>Senior Personnel</v>
          </cell>
        </row>
        <row r="485">
          <cell r="X485">
            <v>1.57</v>
          </cell>
          <cell r="AG485" t="str">
            <v>Senior Personnel</v>
          </cell>
        </row>
        <row r="486">
          <cell r="X486">
            <v>1715</v>
          </cell>
          <cell r="AG486" t="str">
            <v>OPS</v>
          </cell>
        </row>
        <row r="487">
          <cell r="X487">
            <v>1715</v>
          </cell>
          <cell r="AG487" t="str">
            <v>OPS</v>
          </cell>
        </row>
        <row r="488">
          <cell r="X488">
            <v>106.2</v>
          </cell>
          <cell r="AG488" t="str">
            <v>Other</v>
          </cell>
        </row>
        <row r="489">
          <cell r="X489">
            <v>21</v>
          </cell>
          <cell r="AG489" t="str">
            <v>Other</v>
          </cell>
        </row>
        <row r="490">
          <cell r="X490">
            <v>130</v>
          </cell>
          <cell r="AG490" t="str">
            <v>Other</v>
          </cell>
        </row>
        <row r="491">
          <cell r="X491">
            <v>18.91</v>
          </cell>
          <cell r="AG491" t="str">
            <v>Other</v>
          </cell>
        </row>
        <row r="492">
          <cell r="X492">
            <v>18.350000000000001</v>
          </cell>
          <cell r="AG492" t="str">
            <v>Other</v>
          </cell>
        </row>
        <row r="493">
          <cell r="X493">
            <v>178</v>
          </cell>
          <cell r="AG493" t="str">
            <v>Other</v>
          </cell>
        </row>
        <row r="494">
          <cell r="X494">
            <v>55.05</v>
          </cell>
          <cell r="AG494" t="str">
            <v>Other</v>
          </cell>
        </row>
        <row r="495">
          <cell r="X495">
            <v>110</v>
          </cell>
          <cell r="AG495" t="str">
            <v>Domestic Travel</v>
          </cell>
        </row>
        <row r="496">
          <cell r="X496">
            <v>110</v>
          </cell>
          <cell r="AG496" t="str">
            <v>Domestic Travel</v>
          </cell>
        </row>
        <row r="497">
          <cell r="X497">
            <v>370</v>
          </cell>
          <cell r="AG497" t="str">
            <v>Domestic Travel</v>
          </cell>
        </row>
        <row r="498">
          <cell r="X498">
            <v>12.23</v>
          </cell>
          <cell r="AG498" t="str">
            <v>Other</v>
          </cell>
        </row>
        <row r="499">
          <cell r="X499">
            <v>20</v>
          </cell>
          <cell r="AG499" t="str">
            <v>Other</v>
          </cell>
        </row>
        <row r="500">
          <cell r="X500">
            <v>61.5</v>
          </cell>
          <cell r="AG500" t="str">
            <v>Other</v>
          </cell>
        </row>
        <row r="501">
          <cell r="X501">
            <v>29</v>
          </cell>
          <cell r="AG501" t="str">
            <v>Other</v>
          </cell>
        </row>
        <row r="502">
          <cell r="X502">
            <v>77.53</v>
          </cell>
          <cell r="AG502" t="str">
            <v>OPS</v>
          </cell>
        </row>
        <row r="503">
          <cell r="X503">
            <v>427.1</v>
          </cell>
          <cell r="AG503" t="str">
            <v>Tuition</v>
          </cell>
        </row>
        <row r="504">
          <cell r="X504">
            <v>-427.1</v>
          </cell>
          <cell r="AG504" t="str">
            <v>Tuition</v>
          </cell>
        </row>
        <row r="505">
          <cell r="X505">
            <v>427.1</v>
          </cell>
          <cell r="AG505" t="str">
            <v>Tuition</v>
          </cell>
        </row>
        <row r="506">
          <cell r="X506">
            <v>-427.1</v>
          </cell>
          <cell r="AG506" t="str">
            <v>Tuition</v>
          </cell>
        </row>
        <row r="507">
          <cell r="X507">
            <v>427.1</v>
          </cell>
          <cell r="AG507" t="str">
            <v>Tuition</v>
          </cell>
        </row>
        <row r="508">
          <cell r="X508">
            <v>-427.08</v>
          </cell>
          <cell r="AG508" t="str">
            <v>Tuition</v>
          </cell>
        </row>
        <row r="509">
          <cell r="X509">
            <v>427.1</v>
          </cell>
          <cell r="AG509" t="str">
            <v>Tuition</v>
          </cell>
        </row>
        <row r="510">
          <cell r="X510">
            <v>-427.08</v>
          </cell>
          <cell r="AG510" t="str">
            <v>Tuition</v>
          </cell>
        </row>
        <row r="511">
          <cell r="X511">
            <v>427.1</v>
          </cell>
          <cell r="AG511" t="str">
            <v>Tuition</v>
          </cell>
        </row>
        <row r="512">
          <cell r="X512">
            <v>-427.08</v>
          </cell>
          <cell r="AG512" t="str">
            <v>Tuition</v>
          </cell>
        </row>
        <row r="513">
          <cell r="X513">
            <v>257.33</v>
          </cell>
          <cell r="AG513" t="str">
            <v>Tuition</v>
          </cell>
        </row>
        <row r="514">
          <cell r="X514">
            <v>384.48</v>
          </cell>
          <cell r="AG514" t="str">
            <v>Tuition</v>
          </cell>
        </row>
        <row r="515">
          <cell r="X515">
            <v>-384.48</v>
          </cell>
          <cell r="AG515" t="str">
            <v>Tuition</v>
          </cell>
        </row>
        <row r="516">
          <cell r="X516">
            <v>427.2</v>
          </cell>
          <cell r="AG516" t="str">
            <v>Tuition</v>
          </cell>
        </row>
        <row r="517">
          <cell r="X517">
            <v>-427.2</v>
          </cell>
          <cell r="AG517" t="str">
            <v>Tuition</v>
          </cell>
        </row>
        <row r="518">
          <cell r="X518">
            <v>427.1</v>
          </cell>
          <cell r="AG518" t="str">
            <v>Tuition</v>
          </cell>
        </row>
        <row r="519">
          <cell r="X519">
            <v>-427.1</v>
          </cell>
          <cell r="AG519" t="str">
            <v>Tuition</v>
          </cell>
        </row>
        <row r="520">
          <cell r="X520">
            <v>55.66</v>
          </cell>
          <cell r="AG520" t="str">
            <v>F&amp;A</v>
          </cell>
        </row>
        <row r="521">
          <cell r="X521">
            <v>59.5</v>
          </cell>
          <cell r="AG521" t="str">
            <v>F&amp;A</v>
          </cell>
        </row>
        <row r="522">
          <cell r="X522">
            <v>46.11</v>
          </cell>
          <cell r="AG522" t="str">
            <v>F&amp;A</v>
          </cell>
        </row>
        <row r="523">
          <cell r="X523">
            <v>4336.6499999999996</v>
          </cell>
          <cell r="AG523" t="str">
            <v>F&amp;A</v>
          </cell>
        </row>
        <row r="524">
          <cell r="X524">
            <v>80.37</v>
          </cell>
          <cell r="AG524" t="str">
            <v>F&amp;A</v>
          </cell>
        </row>
        <row r="525">
          <cell r="X525">
            <v>46.42</v>
          </cell>
          <cell r="AG525" t="str">
            <v>F&amp;A</v>
          </cell>
        </row>
        <row r="526">
          <cell r="X526">
            <v>97.29</v>
          </cell>
          <cell r="AG526" t="str">
            <v>F&amp;A</v>
          </cell>
        </row>
        <row r="527">
          <cell r="X527">
            <v>25.87</v>
          </cell>
          <cell r="AG527" t="str">
            <v>F&amp;A</v>
          </cell>
        </row>
        <row r="528">
          <cell r="X528">
            <v>103.4</v>
          </cell>
          <cell r="AG528" t="str">
            <v>F&amp;A</v>
          </cell>
        </row>
        <row r="529">
          <cell r="X529">
            <v>173.9</v>
          </cell>
          <cell r="AG529" t="str">
            <v>F&amp;A</v>
          </cell>
        </row>
        <row r="530">
          <cell r="X530">
            <v>1828.93</v>
          </cell>
          <cell r="AG530" t="str">
            <v>F&amp;A</v>
          </cell>
        </row>
        <row r="531">
          <cell r="X531">
            <v>890</v>
          </cell>
          <cell r="AG531" t="str">
            <v>Equipment</v>
          </cell>
        </row>
        <row r="532">
          <cell r="X532">
            <v>418.3</v>
          </cell>
          <cell r="AG532" t="str">
            <v>F&amp;A</v>
          </cell>
        </row>
      </sheetData>
      <sheetData sheetId="2">
        <row r="2">
          <cell r="S2">
            <v>2408.13</v>
          </cell>
          <cell r="T2" t="str">
            <v>Senior Personnel</v>
          </cell>
        </row>
        <row r="3">
          <cell r="S3">
            <v>149.30000000000001</v>
          </cell>
          <cell r="T3" t="str">
            <v>Senior Personnel</v>
          </cell>
        </row>
        <row r="4">
          <cell r="S4">
            <v>34.92</v>
          </cell>
          <cell r="T4" t="str">
            <v>Senior Personnel</v>
          </cell>
        </row>
        <row r="5">
          <cell r="S5">
            <v>177.47</v>
          </cell>
          <cell r="T5" t="str">
            <v>Senior Personnel</v>
          </cell>
        </row>
        <row r="6">
          <cell r="S6">
            <v>285.7</v>
          </cell>
          <cell r="T6" t="str">
            <v>Senior Personnel</v>
          </cell>
        </row>
        <row r="7">
          <cell r="S7">
            <v>2.19</v>
          </cell>
          <cell r="T7" t="str">
            <v>Senior Personnel</v>
          </cell>
        </row>
        <row r="8">
          <cell r="S8">
            <v>2401</v>
          </cell>
          <cell r="T8" t="str">
            <v>OPS</v>
          </cell>
        </row>
        <row r="9">
          <cell r="S9">
            <v>516</v>
          </cell>
          <cell r="T9" t="str">
            <v>Material and Supplies</v>
          </cell>
        </row>
        <row r="10">
          <cell r="S10">
            <v>315</v>
          </cell>
          <cell r="T10" t="str">
            <v>Material and Supplies</v>
          </cell>
        </row>
        <row r="11">
          <cell r="S11">
            <v>144</v>
          </cell>
          <cell r="T11" t="str">
            <v>Domestic Travel</v>
          </cell>
        </row>
        <row r="12">
          <cell r="S12">
            <v>80</v>
          </cell>
          <cell r="T12" t="str">
            <v>Domestic Travel</v>
          </cell>
        </row>
        <row r="13">
          <cell r="S13">
            <v>1055.08</v>
          </cell>
          <cell r="T13" t="str">
            <v>Domestic Travel</v>
          </cell>
        </row>
        <row r="14">
          <cell r="S14">
            <v>108</v>
          </cell>
          <cell r="T14" t="str">
            <v>Domestic Travel</v>
          </cell>
        </row>
        <row r="15">
          <cell r="S15">
            <v>119</v>
          </cell>
          <cell r="T15" t="str">
            <v>Domestic Travel</v>
          </cell>
        </row>
        <row r="16">
          <cell r="S16">
            <v>155</v>
          </cell>
          <cell r="T16" t="str">
            <v>Domestic Travel</v>
          </cell>
        </row>
        <row r="17">
          <cell r="S17">
            <v>91</v>
          </cell>
          <cell r="T17" t="str">
            <v>Domestic Travel</v>
          </cell>
        </row>
        <row r="18">
          <cell r="S18">
            <v>127</v>
          </cell>
          <cell r="T18" t="str">
            <v>Domestic Travel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_GL Tie Out"/>
      <sheetName val="TransDetail_Expense"/>
      <sheetName val="TransDetail_Encumbrance"/>
      <sheetName val="TransDetail_Revenue"/>
      <sheetName val="HR_GL_Detail"/>
      <sheetName val="Payroll Certification"/>
      <sheetName val="Salary Account Codes"/>
      <sheetName val="PCard_Detail"/>
      <sheetName val="Postage_Detail"/>
      <sheetName val="ImageID_Check"/>
    </sheetNames>
    <sheetDataSet>
      <sheetData sheetId="0">
        <row r="2">
          <cell r="F2" t="str">
            <v>DO NOT TYPE IN THIS AREA</v>
          </cell>
        </row>
        <row r="3">
          <cell r="F3" t="str">
            <v>DO NOT TYPE IN THIS AREA</v>
          </cell>
        </row>
        <row r="5">
          <cell r="F5" t="str">
            <v>Expense Detail Tie-Out</v>
          </cell>
          <cell r="M5" t="str">
            <v>Revenue Detail Tie-Out</v>
          </cell>
          <cell r="S5" t="str">
            <v>Encumbrance Detail Tie-Out</v>
          </cell>
        </row>
        <row r="6">
          <cell r="F6" t="str">
            <v>Pd</v>
          </cell>
          <cell r="M6" t="str">
            <v>Pd</v>
          </cell>
          <cell r="S6" t="str">
            <v>Pd</v>
          </cell>
        </row>
        <row r="7">
          <cell r="F7" t="str">
            <v>Fund</v>
          </cell>
          <cell r="M7" t="str">
            <v>Fund</v>
          </cell>
          <cell r="S7" t="str">
            <v>Fund</v>
          </cell>
        </row>
        <row r="8">
          <cell r="F8" t="str">
            <v>Fund</v>
          </cell>
          <cell r="M8" t="str">
            <v>Fund</v>
          </cell>
          <cell r="S8" t="str">
            <v>Row Labels</v>
          </cell>
        </row>
        <row r="9">
          <cell r="F9" t="str">
            <v>Grand Total</v>
          </cell>
          <cell r="M9" t="str">
            <v>Grand Total</v>
          </cell>
          <cell r="S9" t="str">
            <v>Grand Total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U SRS Budget Admendment Form "/>
    </sheetNames>
    <sheetDataSet>
      <sheetData sheetId="0">
        <row r="5">
          <cell r="D5" t="str">
            <v>*Rebudget Sponsor Funds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bl_TransDet_Exp" displayName="tbl_TransDet_Exp" ref="B2:AU5" totalsRowShown="0" headerRowDxfId="284" dataDxfId="283">
  <autoFilter ref="B2:AU5" xr:uid="{E2FB1360-6C18-4317-BEA9-C4620BFFCA91}"/>
  <tableColumns count="46">
    <tableColumn id="1" xr3:uid="{00000000-0010-0000-0000-000001000000}" name="Pd" dataDxfId="282"/>
    <tableColumn id="2" xr3:uid="{00000000-0010-0000-0000-000002000000}" name="Fiscal Year" dataDxfId="281"/>
    <tableColumn id="3" xr3:uid="{00000000-0010-0000-0000-000003000000}" name="Department ID" dataDxfId="280"/>
    <tableColumn id="4" xr3:uid="{00000000-0010-0000-0000-000004000000}" name="Department Desc" dataDxfId="279"/>
    <tableColumn id="5" xr3:uid="{00000000-0010-0000-0000-000005000000}" name="Fund Id" dataDxfId="278"/>
    <tableColumn id="6" xr3:uid="{00000000-0010-0000-0000-000006000000}" name="Fund Desc" dataDxfId="277"/>
    <tableColumn id="7" xr3:uid="{00000000-0010-0000-0000-000007000000}" name="Project Id" dataDxfId="276"/>
    <tableColumn id="8" xr3:uid="{00000000-0010-0000-0000-000008000000}" name="Project Desc" dataDxfId="275"/>
    <tableColumn id="9" xr3:uid="{00000000-0010-0000-0000-000009000000}" name="Chartfield1 &amp; Desc" dataDxfId="274"/>
    <tableColumn id="10" xr3:uid="{00000000-0010-0000-0000-00000A000000}" name="Chartfield2 &amp; Desc" dataDxfId="273"/>
    <tableColumn id="11" xr3:uid="{00000000-0010-0000-0000-00000B000000}" name="Chartfield3 &amp; Desc" dataDxfId="272"/>
    <tableColumn id="12" xr3:uid="{00000000-0010-0000-0000-00000C000000}" name="Account" dataDxfId="271"/>
    <tableColumn id="13" xr3:uid="{00000000-0010-0000-0000-00000D000000}" name="Account Desc" dataDxfId="270"/>
    <tableColumn id="14" xr3:uid="{00000000-0010-0000-0000-00000E000000}" name="Journal Date" dataDxfId="269"/>
    <tableColumn id="15" xr3:uid="{00000000-0010-0000-0000-00000F000000}" name="Journal Id" dataDxfId="268"/>
    <tableColumn id="16" xr3:uid="{00000000-0010-0000-0000-000010000000}" name="Journal Line" dataDxfId="267"/>
    <tableColumn id="17" xr3:uid="{00000000-0010-0000-0000-000011000000}" name="Vendor / Employee" dataDxfId="266"/>
    <tableColumn id="18" xr3:uid="{00000000-0010-0000-0000-000012000000}" name="Vch /Ex /PayId" dataDxfId="265"/>
    <tableColumn id="19" xr3:uid="{00000000-0010-0000-0000-000013000000}" name="Line Num" dataDxfId="264"/>
    <tableColumn id="20" xr3:uid="{00000000-0010-0000-0000-000014000000}" name="Distrib Line" dataDxfId="263"/>
    <tableColumn id="21" xr3:uid="{00000000-0010-0000-0000-000015000000}" name="Po /TAuth / Depos_Id" dataDxfId="262"/>
    <tableColumn id="22" xr3:uid="{00000000-0010-0000-0000-000016000000}" name="Inv /Ref Id / Grp Id" dataDxfId="261"/>
    <tableColumn id="23" xr3:uid="{00000000-0010-0000-0000-000017000000}" name="Journal Line Reference" dataDxfId="260"/>
    <tableColumn id="29" xr3:uid="{00000000-0010-0000-0000-00001D000000}" name="Expense Descr" dataDxfId="259"/>
    <tableColumn id="24" xr3:uid="{00000000-0010-0000-0000-000018000000}" name="Amount" dataDxfId="258" dataCellStyle="Comma"/>
    <tableColumn id="26" xr3:uid="{00000000-0010-0000-0000-00001A000000}" name="+/-  (HR GL Detail)" dataDxfId="257" dataCellStyle="Currency">
      <calculatedColumnFormula>IF(LEFT(tbl_TransDet_Exp[[#This Row],[Journal Id]],3)="PAY",tbl_TransDet_Exp[[#This Row],[Amount]]-ROUND(SUMIFS(tbl_HR_GL_Det[Amount],tbl_HR_GL_Det[Department ID],tbl_TransDet_Exp[[#This Row],[Department ID]],tbl_HR_GL_Det[Fund],tbl_TransDet_Exp[[#This Row],[Fund Id]],tbl_HR_GL_Det[Project (Reformat)],tbl_TransDet_Exp[[#This Row],[Project Id]],tbl_HR_GL_Det[Account],tbl_TransDet_Exp[[#This Row],[Account]],tbl_HR_GL_Det[Journal Id],tbl_TransDet_Exp[[#This Row],[Journal Id]]),2),"")</calculatedColumnFormula>
    </tableColumn>
    <tableColumn id="34" xr3:uid="{00000000-0010-0000-0000-000022000000}" name="Conditional Formatting Check" dataDxfId="256" dataCellStyle="Currency">
      <calculatedColumnFormula>IF(tbl_TransDet_Exp[[#This Row],[+/-  (HR GL Detail)]]&lt;&gt;"",tbl_TransDet_Exp[[#This Row],[+/-  (HR GL Detail)]])</calculatedColumnFormula>
    </tableColumn>
    <tableColumn id="85" xr3:uid="{00000000-0010-0000-0000-000055000000}" name="https://financials.omni.fsu.edu/psp/sprdfi/EMPLOYEE/ERP/c/AUDIT_EXPENSE_FUNCTIONS.TE_EXP_SHEET_INQ.GBL?SHEET_ID=" dataDxfId="255" dataCellStyle="Currency">
      <calculatedColumnFormula>$AC$2</calculatedColumnFormula>
    </tableColumn>
    <tableColumn id="86" xr3:uid="{00000000-0010-0000-0000-000056000000}" name="&amp;PAGE=EX_SHEET_ENTRY" dataDxfId="254" dataCellStyle="Currency">
      <calculatedColumnFormula>$AD$2</calculatedColumnFormula>
    </tableColumn>
    <tableColumn id="88" xr3:uid="{00000000-0010-0000-0000-000058000000}" name="ER Lookup and Format" dataDxfId="253" dataCellStyle="Currency">
      <calculatedColumnFormula>IF(LEFT(tbl_TransDet_Exp[[#This Row],[Journal Id]],2)="EX",TEXT(tbl_TransDet_Exp[[#This Row],[Vch /Ex /PayId]],"0000000000"),"")</calculatedColumnFormula>
    </tableColumn>
    <tableColumn id="45" xr3:uid="{00000000-0010-0000-0000-00002D000000}" name="Travel Concat" dataDxfId="252" dataCellStyle="Currency">
      <calculatedColumnFormula>IF(tbl_TransDet_Exp[[#This Row],[ER Lookup and Format]]&lt;&gt;"",CONCATENATE(tbl_TransDet_Exp[[#This Row],[https://financials.omni.fsu.edu/psp/sprdfi/EMPLOYEE/ERP/c/AUDIT_EXPENSE_FUNCTIONS.TE_EXP_SHEET_INQ.GBL?SHEET_ID=]],AE3,tbl_TransDet_Exp[[#This Row],[&amp;PAGE=EX_SHEET_ENTRY]]))</calculatedColumnFormula>
    </tableColumn>
    <tableColumn id="46" xr3:uid="{00000000-0010-0000-0000-00002E000000}" name="https://docmgmt.its.fsu.edu/NolijWeb/public/apiLoginCheck.jsp?redir=../documentviewer/%3FdocumentId%3D" dataDxfId="251" dataCellStyle="Currency">
      <calculatedColumnFormula>$AG$2</calculatedColumnFormula>
    </tableColumn>
    <tableColumn id="47" xr3:uid="{00000000-0010-0000-0000-00002F000000}" name="https://financials.omni.fsu.edu/psp/sprdfi_1/EMPLOYEE/ERP/c/ENTER_VOUCHER_INFORMATION.VCHR_EXPRESS.GBL?Page=VCHR_EXPRESS1&amp;Action=U&amp;BUSINESS_UNIT=FSU01&amp;VOUCHER_ID=" dataDxfId="250" dataCellStyle="Currency">
      <calculatedColumnFormula>tbl_TransDet_Exp[[#Headers],[https://financials.omni.fsu.edu/psp/sprdfi_1/EMPLOYEE/ERP/c/ENTER_VOUCHER_INFORMATION.VCHR_EXPRESS.GBL?Page=VCHR_EXPRESS1&amp;Action=U&amp;BUSINESS_UNIT=FSU01&amp;VOUCHER_ID=]]</calculatedColumnFormula>
    </tableColumn>
    <tableColumn id="77" xr3:uid="{00000000-0010-0000-0000-00004D000000}" name="&amp;TargetFrameName=None" dataDxfId="249" dataCellStyle="Currency">
      <calculatedColumnFormula>tbl_TransDet_Exp[[#Headers],[&amp;TargetFrameName=None]]</calculatedColumnFormula>
    </tableColumn>
    <tableColumn id="44" xr3:uid="{00000000-0010-0000-0000-00002C000000}" name="Voucher Concat" dataDxfId="248" dataCellStyle="Currency">
      <calculatedColumnFormula>CONCATENATE(tbl_TransDet_Exp[[#This Row],[https://financials.omni.fsu.edu/psp/sprdfi_1/EMPLOYEE/ERP/c/ENTER_VOUCHER_INFORMATION.VCHR_EXPRESS.GBL?Page=VCHR_EXPRESS1&amp;Action=U&amp;BUSINESS_UNIT=FSU01&amp;VOUCHER_ID=]],TEXT(tbl_TransDet_Exp[[#This Row],[Vch /Ex /PayId]],"00000000"),tbl_TransDet_Exp[[#This Row],[&amp;TargetFrameName=None]])</calculatedColumnFormula>
    </tableColumn>
    <tableColumn id="78" xr3:uid="{00000000-0010-0000-0000-00004E000000}" name="Link Formula" dataDxfId="247" dataCellStyle="Currency">
      <calculatedColumnFormula>IFERROR(IF(AND(LEFT(tbl_TransDet_Exp[[#This Row],[Journal Id]],2)="AP",tbl_TransDet_Exp[[#This Row],[Vendor / Employee]]&lt;&gt;"FIA Card Services"),tbl_TransDet_Exp[[#This Row],[Voucher Concat]],tbl_TransDet_Exp[[#This Row],[Travel Concat]]),"")</calculatedColumnFormula>
    </tableColumn>
    <tableColumn id="25" xr3:uid="{00000000-0010-0000-0000-000019000000}" name="Link" dataDxfId="246" dataCellStyle="Hyperlink">
      <calculatedColumnFormula>IF(tbl_TransDet_Exp[[#This Row],[Vendor / Employee]]="FIA CARD SERVICES","P-Card/NO LINK",IF(LEFT(tbl_TransDet_Exp[[#This Row],[Inv /Ref Id / Grp Id]],3)="AUX",HYPERLINK(CONCATENATE("https://financials.omni.fsu.edu/psp/sprdfi/EMPLOYEE/ERP/c/ENTER_BILLING_INFORMATION.BI_INQUIRY.GBL?BUSINESS_UNIT=AUX01&amp;INVOICE=",tbl_TransDet_Exp[[#This Row],[Inv /Ref Id / Grp Id]],"&amp;PAGE=BI_HDR_INQ"),CONCATENATE("Postage:",tbl_TransDet_Exp[[#This Row],[Inv /Ref Id / Grp Id]])),IF(tbl_TransDet_Exp[[#This Row],[Link Formula]]=FALSE, HYPERLINK(CONCATENATE("https://financials.omni.fsu.edu/psp/sprdfi/EMPLOYEE/ERP/c/PROCESS_JOURNALS.JOURNAL_ENTRY_IE.GBL?BUSINESS_UNIT=FSU01&amp;JOURNAL_DATE=",TEXT(tbl_TransDet_Exp[[#This Row],[Journal Date]],"yyyy-mm-dd"), "&amp;JOURNAL_ID=",TEXT(tbl_TransDet_Exp[[#This Row],[Journal Id]],"0000000000"), "&amp;PAGE=JOURNAL_ENTRY1"),CONCATENATE("Link to OMNI Source (",tbl_TransDet_Exp[[#This Row],[Journal Id]],")")),HYPERLINK(tbl_TransDet_Exp[[#This Row],[Link Formula]],CONCATENATE("Link to OMNI Source (",tbl_TransDet_Exp[[#This Row],[Journal Id]],")")))))</calculatedColumnFormula>
    </tableColumn>
    <tableColumn id="79" xr3:uid="{00000000-0010-0000-0000-00004F000000}" name="Custom Link Name" dataDxfId="245" dataCellStyle="Hyperlink"/>
    <tableColumn id="27" xr3:uid="{00000000-0010-0000-0000-00001B000000}" name="Comment" dataDxfId="244"/>
    <tableColumn id="28" xr3:uid="{00000000-0010-0000-0000-00001C000000}" name="Reviewer Comments" dataDxfId="243"/>
    <tableColumn id="42" xr3:uid="{00000000-0010-0000-0000-00002A000000}" name="Custom SR Type" dataDxfId="242"/>
    <tableColumn id="80" xr3:uid="{00000000-0010-0000-0000-000050000000}" name="SR Type" dataDxfId="241">
      <calculatedColumnFormula>IF(tbl_TransDet_Exp[[#This Row],[Custom SR Type]]="",INDEX(SR_Lookup[Section Name],MATCH(tbl_TransDet_Exp[[#This Row],[Account]],SR_Lookup[Account],0)),tbl_TransDet_Exp[[#This Row],[Custom SR Type]])</calculatedColumnFormula>
    </tableColumn>
    <tableColumn id="36" xr3:uid="{00000000-0010-0000-0000-000024000000}" name="FY_pd Combo" dataDxfId="240"/>
    <tableColumn id="41" xr3:uid="{00000000-0010-0000-0000-000029000000}" name="Combo" dataDxfId="239"/>
    <tableColumn id="49" xr3:uid="{00000000-0010-0000-0000-000031000000}" name="E&amp;G Type" dataDxfId="238"/>
    <tableColumn id="52" xr3:uid="{00000000-0010-0000-0000-000034000000}" name="Budgetary Account" dataDxfId="237"/>
  </tableColumns>
  <tableStyleInfo name="TableStyleMedium2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9000000}" name="Table16" displayName="Table16" ref="G2:I39" totalsRowShown="0">
  <autoFilter ref="G2:I39" xr:uid="{00000000-0009-0000-0100-000010000000}"/>
  <tableColumns count="3">
    <tableColumn id="1" xr3:uid="{00000000-0010-0000-0900-000001000000}" name="Source of Funds"/>
    <tableColumn id="2" xr3:uid="{00000000-0010-0000-0900-000002000000}" name="Account"/>
    <tableColumn id="3" xr3:uid="{00000000-0010-0000-0900-000003000000}" name="Lookup" dataDxfId="21">
      <calculatedColumnFormula>CONCATENATE(Table16[[#This Row],[Source of Funds]]," - ",Table16[[#This Row],[Account]])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A000000}" name="Table1" displayName="Table1" ref="A1:Q5" totalsRowShown="0">
  <autoFilter ref="A1:Q5" xr:uid="{00000000-0009-0000-0100-000009000000}"/>
  <tableColumns count="17">
    <tableColumn id="1" xr3:uid="{00000000-0010-0000-0A00-000001000000}" name="Name"/>
    <tableColumn id="2" xr3:uid="{00000000-0010-0000-0A00-000002000000}" name="Empl Id"/>
    <tableColumn id="3" xr3:uid="{00000000-0010-0000-0A00-000003000000}" name="Rcd"/>
    <tableColumn id="4" xr3:uid="{00000000-0010-0000-0A00-000004000000}" name="Job Effdt" dataDxfId="20"/>
    <tableColumn id="5" xr3:uid="{00000000-0010-0000-0A00-000005000000}" name="Dept Id"/>
    <tableColumn id="6" xr3:uid="{00000000-0010-0000-0A00-000006000000}" name="Job Code"/>
    <tableColumn id="7" xr3:uid="{00000000-0010-0000-0A00-000007000000}" name="Posn Nbr"/>
    <tableColumn id="8" xr3:uid="{00000000-0010-0000-0A00-000008000000}" name="St at"/>
    <tableColumn id="9" xr3:uid="{00000000-0010-0000-0A00-000009000000}" name="Class"/>
    <tableColumn id="10" xr3:uid="{00000000-0010-0000-0A00-00000A000000}" name="FLSA Stat"/>
    <tableColumn id="11" xr3:uid="{00000000-0010-0000-0A00-00000B000000}" name="Comp Rate"/>
    <tableColumn id="12" xr3:uid="{00000000-0010-0000-0A00-00000C000000}" name="FTE"/>
    <tableColumn id="13" xr3:uid="{00000000-0010-0000-0A00-00000D000000}" name="Account Code"/>
    <tableColumn id="14" xr3:uid="{00000000-0010-0000-0A00-00000E000000}" name="Funding BegDt" dataDxfId="19"/>
    <tableColumn id="15" xr3:uid="{00000000-0010-0000-0A00-00000F000000}" name="Funding EndDt" dataDxfId="18"/>
    <tableColumn id="16" xr3:uid="{00000000-0010-0000-0A00-000010000000}" name="Dist %"/>
    <tableColumn id="17" xr3:uid="{00000000-0010-0000-0A00-000011000000}" name="Encumbered" dataDxfId="17" dataCellStyle="Currency">
      <calculatedColumnFormula>SUMIFS(Table24[Amount Encumbered],Table24[Empl ID],Table1[[#This Row],[Empl Id]],Table24[Rcd],Table1[[#This Row],[Rcd]])*(Table1[[#This Row],[Dist %]]/100)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B000000}" name="Table24" displayName="Table24" ref="A1:O4" totalsRowShown="0">
  <autoFilter ref="A1:O4" xr:uid="{00000000-0009-0000-0100-00000A000000}"/>
  <tableColumns count="15">
    <tableColumn id="1" xr3:uid="{00000000-0010-0000-0B00-000001000000}" name="Pay End Dt" dataDxfId="16"/>
    <tableColumn id="2" xr3:uid="{00000000-0010-0000-0B00-000002000000}" name="Department Id"/>
    <tableColumn id="3" xr3:uid="{00000000-0010-0000-0B00-000003000000}" name="Department Desc"/>
    <tableColumn id="4" xr3:uid="{00000000-0010-0000-0B00-000004000000}" name="SALS/OPS"/>
    <tableColumn id="5" xr3:uid="{00000000-0010-0000-0B00-000005000000}" name="GL Category"/>
    <tableColumn id="6" xr3:uid="{00000000-0010-0000-0B00-000006000000}" name="Empl ID"/>
    <tableColumn id="7" xr3:uid="{00000000-0010-0000-0B00-000007000000}" name="Rcd"/>
    <tableColumn id="8" xr3:uid="{00000000-0010-0000-0B00-000008000000}" name="Position"/>
    <tableColumn id="9" xr3:uid="{00000000-0010-0000-0B00-000009000000}" name="Jobcode"/>
    <tableColumn id="10" xr3:uid="{00000000-0010-0000-0B00-00000A000000}" name="Name"/>
    <tableColumn id="11" xr3:uid="{00000000-0010-0000-0B00-00000B000000}" name="GL Account"/>
    <tableColumn id="12" xr3:uid="{00000000-0010-0000-0B00-00000C000000}" name="GL Account Desc"/>
    <tableColumn id="13" xr3:uid="{00000000-0010-0000-0B00-00000D000000}" name="Combo Code"/>
    <tableColumn id="14" xr3:uid="{00000000-0010-0000-0B00-00000E000000}" name="Commitment Control Document Id"/>
    <tableColumn id="15" xr3:uid="{00000000-0010-0000-0B00-00000F000000}" name="Amount Encumbered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13" displayName="Table13" ref="A2:Q3" insertRow="1" totalsRowShown="0">
  <autoFilter ref="A2:Q3" xr:uid="{00000000-0009-0000-0100-00000D000000}"/>
  <tableColumns count="17">
    <tableColumn id="1" xr3:uid="{00000000-0010-0000-0C00-000001000000}" name="Group"/>
    <tableColumn id="2" xr3:uid="{00000000-0010-0000-0C00-000002000000}" name="Division"/>
    <tableColumn id="3" xr3:uid="{00000000-0010-0000-0C00-000003000000}" name="School"/>
    <tableColumn id="4" xr3:uid="{00000000-0010-0000-0C00-000004000000}" name="Area"/>
    <tableColumn id="5" xr3:uid="{00000000-0010-0000-0C00-000005000000}" name="Fund Id"/>
    <tableColumn id="6" xr3:uid="{00000000-0010-0000-0C00-000006000000}" name="Fund Desc"/>
    <tableColumn id="7" xr3:uid="{00000000-0010-0000-0C00-000007000000}" name="Department ID"/>
    <tableColumn id="8" xr3:uid="{00000000-0010-0000-0C00-000008000000}" name="Department Desc"/>
    <tableColumn id="9" xr3:uid="{00000000-0010-0000-0C00-000009000000}" name="DDDHC"/>
    <tableColumn id="10" xr3:uid="{00000000-0010-0000-0C00-00000A000000}" name="Budget Manager"/>
    <tableColumn id="11" xr3:uid="{00000000-0010-0000-0C00-00000B000000}" name="Budgetary Account"/>
    <tableColumn id="12" xr3:uid="{00000000-0010-0000-0C00-00000C000000}" name="Detail Id" dataDxfId="15"/>
    <tableColumn id="13" xr3:uid="{00000000-0010-0000-0C00-00000D000000}" name="Budget Amount"/>
    <tableColumn id="14" xr3:uid="{00000000-0010-0000-0C00-00000E000000}" name="Encumbrance Amount"/>
    <tableColumn id="15" xr3:uid="{00000000-0010-0000-0C00-00000F000000}" name="KK Expense Amount"/>
    <tableColumn id="16" xr3:uid="{00000000-0010-0000-0C00-000010000000}" name="Available Balance"/>
    <tableColumn id="17" xr3:uid="{00000000-0010-0000-0C00-000011000000}" name="% Av Bal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Fund_Table" displayName="Fund_Table" ref="A1:B10" totalsRowShown="0">
  <autoFilter ref="A1:B10" xr:uid="{00000000-0009-0000-0100-00000E000000}"/>
  <tableColumns count="2">
    <tableColumn id="1" xr3:uid="{00000000-0010-0000-0D00-000001000000}" name="Fund Id"/>
    <tableColumn id="2" xr3:uid="{00000000-0010-0000-0D00-000002000000}" name="Fund Desc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Dept_Table" displayName="Dept_Table" ref="D1:E41" totalsRowShown="0">
  <autoFilter ref="D1:E41" xr:uid="{00000000-0009-0000-0100-00000F000000}"/>
  <tableColumns count="2">
    <tableColumn id="1" xr3:uid="{00000000-0010-0000-0E00-000001000000}" name="Department ID"/>
    <tableColumn id="2" xr3:uid="{00000000-0010-0000-0E00-000002000000}" name="Department Desc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F000000}" name="SR_Lookup" displayName="SR_Lookup" ref="B2:F711" totalsRowShown="0">
  <autoFilter ref="B2:F711" xr:uid="{00000000-0009-0000-0100-000019000000}"/>
  <sortState xmlns:xlrd2="http://schemas.microsoft.com/office/spreadsheetml/2017/richdata2" ref="B3:F525">
    <sortCondition ref="B2:B525"/>
  </sortState>
  <tableColumns count="5">
    <tableColumn id="1" xr3:uid="{00000000-0010-0000-0F00-000001000000}" name="Account"/>
    <tableColumn id="2" xr3:uid="{00000000-0010-0000-0F00-000002000000}" name="Account Desc"/>
    <tableColumn id="3" xr3:uid="{00000000-0010-0000-0F00-000003000000}" name="Section Name"/>
    <tableColumn id="5" xr3:uid="{00000000-0010-0000-0F00-000005000000}" name="Financial Query"/>
    <tableColumn id="4" xr3:uid="{00000000-0010-0000-0F00-000004000000}" name="concat">
      <calculatedColumnFormula>CONCATENATE(SR_Lookup[[#This Row],[Account]]," - ",SR_Lookup[[#This Row],[Account Desc]])</calculatedColumnFormula>
    </tableColumn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10000000}" name="Table11" displayName="Table11" ref="A1:G524" totalsRowShown="0">
  <autoFilter ref="A1:G524" xr:uid="{00000000-0009-0000-0100-00000B000000}"/>
  <tableColumns count="7">
    <tableColumn id="1" xr3:uid="{00000000-0010-0000-1000-000001000000}" name="GL Account"/>
    <tableColumn id="2" xr3:uid="{00000000-0010-0000-1000-000002000000}" name="GL Account Descr"/>
    <tableColumn id="3" xr3:uid="{00000000-0010-0000-1000-000003000000}" name="Budgetary Account"/>
    <tableColumn id="4" xr3:uid="{00000000-0010-0000-1000-000004000000}" name="Budgetary Account Descr"/>
    <tableColumn id="5" xr3:uid="{00000000-0010-0000-1000-000005000000}" name="Sub-Budgetary Account"/>
    <tableColumn id="6" xr3:uid="{00000000-0010-0000-1000-000006000000}" name="Sub-Budgetary Account Descr"/>
    <tableColumn id="7" xr3:uid="{00000000-0010-0000-1000-000007000000}" name="Description" dataDxfId="14">
      <calculatedColumnFormula>IFERROR(RIGHT(Table11[[#This Row],[Sub-Budgetary Account Descr]],LEN(Table11[[#This Row],[Sub-Budgetary Account Descr]])-11),"")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bl_TransDet_Enc" displayName="tbl_TransDet_Enc" ref="B2:AA5" totalsRowShown="0" headerRowDxfId="236" dataDxfId="235">
  <autoFilter ref="B2:AA5" xr:uid="{00000000-0009-0000-0100-000005000000}"/>
  <tableColumns count="26">
    <tableColumn id="1" xr3:uid="{00000000-0010-0000-0100-000001000000}" name="Pd" dataDxfId="234"/>
    <tableColumn id="2" xr3:uid="{00000000-0010-0000-0100-000002000000}" name="Fiscal Year" dataDxfId="233"/>
    <tableColumn id="3" xr3:uid="{00000000-0010-0000-0100-000003000000}" name="Department Id" dataDxfId="232"/>
    <tableColumn id="4" xr3:uid="{00000000-0010-0000-0100-000004000000}" name="Department Desc" dataDxfId="231"/>
    <tableColumn id="5" xr3:uid="{00000000-0010-0000-0100-000005000000}" name="Fund Code" dataDxfId="230"/>
    <tableColumn id="6" xr3:uid="{00000000-0010-0000-0100-000006000000}" name="Fund Description" dataDxfId="229"/>
    <tableColumn id="7" xr3:uid="{00000000-0010-0000-0100-000007000000}" name="Project Id" dataDxfId="228"/>
    <tableColumn id="8" xr3:uid="{00000000-0010-0000-0100-000008000000}" name="Project" dataDxfId="227"/>
    <tableColumn id="9" xr3:uid="{00000000-0010-0000-0100-000009000000}" name="Chartfield1 Id" dataDxfId="226"/>
    <tableColumn id="10" xr3:uid="{00000000-0010-0000-0100-00000A000000}" name="Chartfield2 Id" dataDxfId="225"/>
    <tableColumn id="11" xr3:uid="{00000000-0010-0000-0100-00000B000000}" name="Chartfield3 Id" dataDxfId="224"/>
    <tableColumn id="12" xr3:uid="{00000000-0010-0000-0100-00000C000000}" name="Account" dataDxfId="223"/>
    <tableColumn id="13" xr3:uid="{00000000-0010-0000-0100-00000D000000}" name="Account Desc" dataDxfId="222"/>
    <tableColumn id="17" xr3:uid="{00000000-0010-0000-0100-000011000000}" name="Tran Date" dataDxfId="221"/>
    <tableColumn id="14" xr3:uid="{00000000-0010-0000-0100-00000E000000}" name="Source Doc Id" dataDxfId="220"/>
    <tableColumn id="15" xr3:uid="{00000000-0010-0000-0100-00000F000000}" name="Source Line" dataDxfId="219"/>
    <tableColumn id="16" xr3:uid="{00000000-0010-0000-0100-000010000000}" name="Vendor /Employee" dataDxfId="218"/>
    <tableColumn id="19" xr3:uid="{00000000-0010-0000-0100-000013000000}" name="Amount" dataDxfId="217" dataCellStyle="Currency"/>
    <tableColumn id="20" xr3:uid="{00000000-0010-0000-0100-000014000000}" name="Link" dataDxfId="216">
      <calculatedColumnFormula>IF(LEFT(tbl_TransDet_Enc[[#This Row],[Source Doc Id]],2)="Tr",HYPERLINK(CONCATENATE("https://financials.omni.fsu.edu/psp/sprdfi/EMPLOYEE/ERP/c/AUDIT_EXPENSE_FUNCTIONS.TE_TAUTH_INQ.GBL?TRAVEL_AUTH_ID=",RIGHT(tbl_TransDet_Enc[[#This Row],[Source Doc Id]],10),"&amp;PAGE=EX_TAUTH_ENTRY"),tbl_TransDet_Enc[[#This Row],[Source Doc Id]]),IF(LEFT(tbl_TransDet_Enc[[#This Row],[Source Doc Id]],2)="PO",HYPERLINK(CONCATENATE("https://financials.omni.fsu.edu/psp/sprdfi/EMPLOYEE/ERP/c/MANAGE_PURCHASE_ORDERS.PO_INQUIRY.GBL?BUSINESS_UNIT=FSU01&amp;PO_ID=",RIGHT(tbl_TransDet_Enc[[#This Row],[Source Doc Id]],10),"&amp;PAGE=PO_LINE_INQ"),tbl_TransDet_Enc[[#This Row],[Source Doc Id]]),""))</calculatedColumnFormula>
    </tableColumn>
    <tableColumn id="21" xr3:uid="{00000000-0010-0000-0100-000015000000}" name="Comments" dataDxfId="215"/>
    <tableColumn id="22" xr3:uid="{00000000-0010-0000-0100-000016000000}" name="Reviewer's Comments" dataDxfId="214"/>
    <tableColumn id="29" xr3:uid="{00000000-0010-0000-0100-00001D000000}" name="Custom SR Type" dataDxfId="213"/>
    <tableColumn id="25" xr3:uid="{00000000-0010-0000-0100-000019000000}" name="SR Type" dataDxfId="212">
      <calculatedColumnFormula>IF(tbl_TransDet_Enc[[#This Row],[Custom SR Type]]="",INDEX(SR_Lookup[Section Name],MATCH(tbl_TransDet_Enc[[#This Row],[Account]],SR_Lookup[Account],0)),tbl_TransDet_Enc[[#This Row],[Custom SR Type]])</calculatedColumnFormula>
    </tableColumn>
    <tableColumn id="28" xr3:uid="{00000000-0010-0000-0100-00001C000000}" name="Project2" dataDxfId="211">
      <calculatedColumnFormula>TEXT(tbl_TransDet_Enc[[#This Row],[Project Id]],"000000")</calculatedColumnFormula>
    </tableColumn>
    <tableColumn id="32" xr3:uid="{00000000-0010-0000-0100-000020000000}" name="E&amp;G Type" dataDxfId="210">
      <calculatedColumnFormula>INDEX(Table11[Description],MATCH(tbl_TransDet_Enc[[#This Row],[Account]],Table11[GL Account],0))</calculatedColumnFormula>
    </tableColumn>
    <tableColumn id="31" xr3:uid="{00000000-0010-0000-0100-00001F000000}" name="Budgetary Account" dataDxfId="209">
      <calculatedColumnFormula>TEXT(IFERROR(IF(LEFT(tbl_TransDet_Enc[[#This Row],[Account]],2)="78",INDEX(Table11[Budgetary Account],MATCH(tbl_TransDet_Enc[[#This Row],[Account]],Table11[GL Account],0)),IF(LEFT(tbl_TransDet_Enc[[#This Row],[Account]],2)="71",INDEX(Table11[Budgetary Account],MATCH(tbl_TransDet_Enc[[#This Row],[Account]],Table11[GL Account],0)),INDEX(Table11[Sub-Budgetary Account],MATCH(tbl_TransDet_Enc[[#This Row],[Account]],Table11[GL Account],0)))),"000000"),"000000")</calculatedColumnFormula>
    </tableColumn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bl_HR_GL_Det" displayName="tbl_HR_GL_Det" ref="B2:S5" totalsRowShown="0" headerRowDxfId="208" dataDxfId="207">
  <autoFilter ref="B2:S5" xr:uid="{00000000-0009-0000-0100-000003000000}"/>
  <tableColumns count="18">
    <tableColumn id="1" xr3:uid="{00000000-0010-0000-0200-000001000000}" name="Journal Id" dataDxfId="206"/>
    <tableColumn id="2" xr3:uid="{00000000-0010-0000-0200-000002000000}" name="Run Id" dataDxfId="205"/>
    <tableColumn id="3" xr3:uid="{00000000-0010-0000-0200-000003000000}" name="Pay End Dt" dataDxfId="204"/>
    <tableColumn id="4" xr3:uid="{00000000-0010-0000-0200-000004000000}" name="Department ID" dataDxfId="203"/>
    <tableColumn id="5" xr3:uid="{00000000-0010-0000-0200-000005000000}" name="Department Desc" dataDxfId="202"/>
    <tableColumn id="6" xr3:uid="{00000000-0010-0000-0200-000006000000}" name="Fund" dataDxfId="201"/>
    <tableColumn id="7" xr3:uid="{00000000-0010-0000-0200-000007000000}" name="Project" dataDxfId="200"/>
    <tableColumn id="8" xr3:uid="{00000000-0010-0000-0200-000008000000}" name="Account" dataDxfId="199"/>
    <tableColumn id="9" xr3:uid="{00000000-0010-0000-0200-000009000000}" name="Account Short Desc" dataDxfId="198"/>
    <tableColumn id="16" xr3:uid="{00000000-0010-0000-0200-000010000000}" name="Position Number" dataDxfId="197"/>
    <tableColumn id="10" xr3:uid="{00000000-0010-0000-0200-00000A000000}" name="Employee Name" dataDxfId="196"/>
    <tableColumn id="11" xr3:uid="{00000000-0010-0000-0200-00000B000000}" name="Empl ID" dataDxfId="195"/>
    <tableColumn id="12" xr3:uid="{00000000-0010-0000-0200-00000C000000}" name="Rcd" dataDxfId="194"/>
    <tableColumn id="13" xr3:uid="{00000000-0010-0000-0200-00000D000000}" name="Jobcode" dataDxfId="193"/>
    <tableColumn id="14" xr3:uid="{00000000-0010-0000-0200-00000E000000}" name="Amount" dataDxfId="192" dataCellStyle="Comma"/>
    <tableColumn id="15" xr3:uid="{00000000-0010-0000-0200-00000F000000}" name="Redist Pay Dt" dataDxfId="191"/>
    <tableColumn id="18" xr3:uid="{00000000-0010-0000-0200-000012000000}" name="Comments" dataDxfId="190"/>
    <tableColumn id="17" xr3:uid="{00000000-0010-0000-0200-000011000000}" name="Project (Reformat)" dataDxfId="18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bl_SalAccts" displayName="tbl_SalAccts" ref="B2:E1205" totalsRowShown="0">
  <autoFilter ref="B2:E1205" xr:uid="{00000000-0009-0000-0100-000007000000}"/>
  <sortState xmlns:xlrd2="http://schemas.microsoft.com/office/spreadsheetml/2017/richdata2" ref="B3:D83">
    <sortCondition ref="B2:B83"/>
  </sortState>
  <tableColumns count="4">
    <tableColumn id="1" xr3:uid="{00000000-0010-0000-0300-000001000000}" name="Account Code"/>
    <tableColumn id="2" xr3:uid="{00000000-0010-0000-0300-000002000000}" name="Account Description"/>
    <tableColumn id="3" xr3:uid="{00000000-0010-0000-0300-000003000000}" name="Value"/>
    <tableColumn id="4" xr3:uid="{00000000-0010-0000-0300-000004000000}" name="Text Value" dataDxfId="188">
      <calculatedColumnFormula>IF(tbl_SalAccts[[#This Row],[Value]]=1,"Salary",IF(tbl_SalAccts[[#This Row],[Value]]=2,"Fringe",IF(tbl_SalAccts[[#This Row],[Value]]=3,"Other","")))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tbl_Pcard" displayName="tbl_Pcard" ref="B2:V5" totalsRowShown="0" headerRowDxfId="187">
  <autoFilter ref="B2:V5" xr:uid="{00000000-0009-0000-0100-000008000000}"/>
  <tableColumns count="21">
    <tableColumn id="1" xr3:uid="{00000000-0010-0000-0400-000001000000}" name="Unq_Ref" dataDxfId="186">
      <calculatedColumnFormula>tbl_Pcard[[#This Row],[Reference+ID]]</calculatedColumnFormula>
    </tableColumn>
    <tableColumn id="16" xr3:uid="{00000000-0010-0000-0400-000010000000}" name="Cardholder Name" dataDxfId="185"/>
    <tableColumn id="15" xr3:uid="{00000000-0010-0000-0400-00000F000000}" name="Emp ID" dataDxfId="184"/>
    <tableColumn id="14" xr3:uid="{00000000-0010-0000-0400-00000E000000}" name="Merchant Name" dataDxfId="183"/>
    <tableColumn id="2" xr3:uid="{00000000-0010-0000-0400-000002000000}" name="Purchase Description" dataDxfId="182"/>
    <tableColumn id="3" xr3:uid="{00000000-0010-0000-0400-000003000000}" name="Trans Date" dataDxfId="181"/>
    <tableColumn id="4" xr3:uid="{00000000-0010-0000-0400-000004000000}" name="Trans Amt" dataDxfId="180"/>
    <tableColumn id="5" xr3:uid="{00000000-0010-0000-0400-000005000000}" name="Multiple Budgets1" dataDxfId="179"/>
    <tableColumn id="6" xr3:uid="{00000000-0010-0000-0400-000006000000}" name="Dept" dataDxfId="178"/>
    <tableColumn id="7" xr3:uid="{00000000-0010-0000-0400-000007000000}" name="Fund" dataDxfId="177"/>
    <tableColumn id="8" xr3:uid="{00000000-0010-0000-0400-000008000000}" name="Account" dataDxfId="176"/>
    <tableColumn id="9" xr3:uid="{00000000-0010-0000-0400-000009000000}" name="Project" dataDxfId="175"/>
    <tableColumn id="10" xr3:uid="{00000000-0010-0000-0400-00000A000000}" name="Voucher #" dataDxfId="174"/>
    <tableColumn id="11" xr3:uid="{00000000-0010-0000-0400-00000B000000}" name="Comment/Other" dataDxfId="173"/>
    <tableColumn id="12" xr3:uid="{00000000-0010-0000-0400-00000C000000}" name="Reference" dataDxfId="172">
      <calculatedColumnFormula>IF("'"&amp;IF(CONCATENATE(IF(tbl_Pcard[[#This Row],[Incorrect Charge]]="",VALUE(tbl_Pcard[[#This Row],[Dept]]),tbl_Pcard[[#This Row],[Incorrect Charge]]),VALUE(tbl_Pcard[[#This Row],[Fund]]),IF(tbl_Pcard[[#This Row],[Project]]="","-",VALUE(tbl_Pcard[[#This Row],[Project]])),VALUE(tbl_Pcard[[#This Row],[Account]]),IF(tbl_Pcard[[#This Row],[Voucher '#]]="","-",VALUE(tbl_Pcard[[#This Row],[Voucher '#]])),VALUE(tbl_Pcard[[#This Row],[Trans Amt]]))="00-0-0","",CONCATENATE(IF(tbl_Pcard[[#This Row],[Incorrect Charge]]="",VALUE(tbl_Pcard[[#This Row],[Dept]]),tbl_Pcard[[#This Row],[Incorrect Charge]]),VALUE(tbl_Pcard[[#This Row],[Fund]]),IF(tbl_Pcard[[#This Row],[Project]]="","-",VALUE(tbl_Pcard[[#This Row],[Project]])),VALUE(tbl_Pcard[[#This Row],[Account]]),IF(tbl_Pcard[[#This Row],[Voucher '#]]="","-",VALUE(tbl_Pcard[[#This Row],[Voucher '#]])),VALUE(tbl_Pcard[[#This Row],[Trans Amt]])))="'","","'"&amp;IF(CONCATENATE(IF(tbl_Pcard[[#This Row],[Incorrect Charge]]="",VALUE(tbl_Pcard[[#This Row],[Dept]]),tbl_Pcard[[#This Row],[Incorrect Charge]]),VALUE(tbl_Pcard[[#This Row],[Fund]]),IF(tbl_Pcard[[#This Row],[Project]]="","-",VALUE(tbl_Pcard[[#This Row],[Project]])),VALUE(tbl_Pcard[[#This Row],[Account]]),IF(tbl_Pcard[[#This Row],[Voucher '#]]="","-",VALUE(tbl_Pcard[[#This Row],[Voucher '#]])),VALUE(tbl_Pcard[[#This Row],[Trans Amt]]))="00-0-0","",CONCATENATE(IF(tbl_Pcard[[#This Row],[Incorrect Charge]]="",VALUE(tbl_Pcard[[#This Row],[Dept]]),tbl_Pcard[[#This Row],[Incorrect Charge]]),VALUE(tbl_Pcard[[#This Row],[Fund]]),IF(tbl_Pcard[[#This Row],[Project]]="","-",VALUE(tbl_Pcard[[#This Row],[Project]])),VALUE(tbl_Pcard[[#This Row],[Account]]),IF(tbl_Pcard[[#This Row],[Voucher '#]]="","-",VALUE(tbl_Pcard[[#This Row],[Voucher '#]])),VALUE(tbl_Pcard[[#This Row],[Trans Amt]]))))</calculatedColumnFormula>
    </tableColumn>
    <tableColumn id="20" xr3:uid="{00000000-0010-0000-0400-000014000000}" name="Unq_ID" dataDxfId="171">
      <calculatedColumnFormula>COUNTIF(P$3:tbl_Pcard[[#This Row],[Reference]],tbl_Pcard[[#This Row],[Reference]])</calculatedColumnFormula>
    </tableColumn>
    <tableColumn id="21" xr3:uid="{00000000-0010-0000-0400-000015000000}" name="Reference+ID" dataDxfId="170">
      <calculatedColumnFormula>IF(tbl_Pcard[[#This Row],[Reference]]="","",CONCATENATE(tbl_Pcard[[#This Row],[Reference]],tbl_Pcard[[#This Row],[Unq_ID]]))</calculatedColumnFormula>
    </tableColumn>
    <tableColumn id="13" xr3:uid="{00000000-0010-0000-0400-00000D000000}" name="Match to Expense Detail" dataDxfId="169">
      <calculatedColumnFormula>IF(tbl_Pcard[[#This Row],[Incorrect Charge]]&lt;&gt;"",tbl_Pcard[[#This Row],[Incorrect Charge]],IF(IFERROR(VLOOKUP(tbl_Pcard[[#This Row],[Reference+ID]],#REF!,1,0),"")&lt;&gt;tbl_Pcard[[#This Row],[Reference+ID]],"NO MATCH",""))</calculatedColumnFormula>
    </tableColumn>
    <tableColumn id="19" xr3:uid="{00000000-0010-0000-0400-000013000000}" name="Incorrect Charge" dataDxfId="168"/>
    <tableColumn id="18" xr3:uid="{00000000-0010-0000-0400-000012000000}" name="Link" dataDxfId="167"/>
    <tableColumn id="17" xr3:uid="{00000000-0010-0000-0400-000011000000}" name="Comments" dataDxfId="166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5000000}" name="tbl_ProjEncumbrances" displayName="tbl_ProjEncumbrances" ref="B5:AZ6" insertRow="1" totalsRowShown="0" headerRowDxfId="165" dataDxfId="164">
  <autoFilter ref="B5:AZ6" xr:uid="{00000000-0009-0000-0100-00000C000000}"/>
  <sortState xmlns:xlrd2="http://schemas.microsoft.com/office/spreadsheetml/2017/richdata2" ref="B6:BF46">
    <sortCondition ref="H5:H46"/>
  </sortState>
  <tableColumns count="51">
    <tableColumn id="16" xr3:uid="{00000000-0010-0000-0500-000010000000}" name=" Department" dataDxfId="163" totalsRowDxfId="162"/>
    <tableColumn id="17" xr3:uid="{00000000-0010-0000-0500-000011000000}" name=" Fund" dataDxfId="161" totalsRowDxfId="160"/>
    <tableColumn id="18" xr3:uid="{00000000-0010-0000-0500-000012000000}" name=" Project" dataDxfId="159" totalsRowDxfId="158"/>
    <tableColumn id="34" xr3:uid="{00000000-0010-0000-0500-000022000000}" name=" Chartfield 1" dataDxfId="157" totalsRowDxfId="156"/>
    <tableColumn id="33" xr3:uid="{00000000-0010-0000-0500-000021000000}" name=" Chartfield 2" dataDxfId="155" totalsRowDxfId="154"/>
    <tableColumn id="32" xr3:uid="{00000000-0010-0000-0500-000020000000}" name=" Chartfield 3" dataDxfId="153" totalsRowDxfId="152"/>
    <tableColumn id="1" xr3:uid="{00000000-0010-0000-0500-000001000000}" name="Account" dataDxfId="151" totalsRowDxfId="150"/>
    <tableColumn id="2" xr3:uid="{00000000-0010-0000-0500-000002000000}" name="Projected Expense Description" dataDxfId="149" totalsRowDxfId="148"/>
    <tableColumn id="35" xr3:uid="{00000000-0010-0000-0500-000023000000}" name="Fiscal Year" dataDxfId="147" totalsRowDxfId="146"/>
    <tableColumn id="3" xr3:uid="{00000000-0010-0000-0500-000003000000}" name="Pd. 1" dataDxfId="145" totalsRowDxfId="144" dataCellStyle="Currency"/>
    <tableColumn id="36" xr3:uid="{00000000-0010-0000-0500-000024000000}" name="Ref_pd.1B" dataDxfId="143" totalsRowDxfId="142" dataCellStyle="Currency">
      <calculatedColumnFormula>VALUE(CONCATENATE(tbl_ProjEncumbrances[[#This Row],[Fiscal Year]],"01"))</calculatedColumnFormula>
    </tableColumn>
    <tableColumn id="19" xr3:uid="{00000000-0010-0000-0500-000013000000}" name="Ref_ Pd. 1" dataDxfId="141" totalsRowDxfId="140" dataCellStyle="Currency">
      <calculatedColumnFormula>IF(tbl_ProjEncumbrances[[#This Row],[Ref_pd.1B]]&gt;LARGE(tbl_TransDet_Exp[FY_pd Combo],1),tbl_ProjEncumbrances[Pd. 1],"")</calculatedColumnFormula>
    </tableColumn>
    <tableColumn id="4" xr3:uid="{00000000-0010-0000-0500-000004000000}" name="Pd. 2" dataDxfId="139" totalsRowDxfId="138" dataCellStyle="Currency"/>
    <tableColumn id="37" xr3:uid="{00000000-0010-0000-0500-000025000000}" name="Ref_ Pd. 2B" dataDxfId="137" totalsRowDxfId="136" dataCellStyle="Currency">
      <calculatedColumnFormula>VALUE(CONCATENATE(J6,"02"))</calculatedColumnFormula>
    </tableColumn>
    <tableColumn id="20" xr3:uid="{00000000-0010-0000-0500-000014000000}" name="Ref_ Pd. 2" dataDxfId="135" totalsRowDxfId="134" dataCellStyle="Currency">
      <calculatedColumnFormula>IF(tbl_ProjEncumbrances[[#This Row],[Ref_ Pd. 2B]]&gt;LARGE(tbl_TransDet_Exp[FY_pd Combo],1),tbl_ProjEncumbrances[Pd. 2],"")</calculatedColumnFormula>
    </tableColumn>
    <tableColumn id="5" xr3:uid="{00000000-0010-0000-0500-000005000000}" name="Pd. 3" dataDxfId="133" totalsRowDxfId="132" dataCellStyle="Currency"/>
    <tableColumn id="38" xr3:uid="{00000000-0010-0000-0500-000026000000}" name="Ref_ Pd. 3B" dataDxfId="131" totalsRowDxfId="130" dataCellStyle="Currency">
      <calculatedColumnFormula>VALUE(CONCATENATE(tbl_ProjEncumbrances[[#This Row],[Fiscal Year]],"03"))</calculatedColumnFormula>
    </tableColumn>
    <tableColumn id="21" xr3:uid="{00000000-0010-0000-0500-000015000000}" name="Ref_ Pd. 3" dataDxfId="129" totalsRowDxfId="128" dataCellStyle="Currency">
      <calculatedColumnFormula>IF(R6&gt;LARGE(tbl_TransDet_Exp[FY_pd Combo],1),tbl_ProjEncumbrances[Pd. 3],"")</calculatedColumnFormula>
    </tableColumn>
    <tableColumn id="6" xr3:uid="{00000000-0010-0000-0500-000006000000}" name="Pd. 4" dataDxfId="127" totalsRowDxfId="126" dataCellStyle="Currency"/>
    <tableColumn id="39" xr3:uid="{00000000-0010-0000-0500-000027000000}" name="Ref_ Pd. 4B" dataDxfId="125" totalsRowDxfId="124" dataCellStyle="Currency">
      <calculatedColumnFormula>VALUE(CONCATENATE(tbl_ProjEncumbrances[[#This Row],[Fiscal Year]],"04"))</calculatedColumnFormula>
    </tableColumn>
    <tableColumn id="22" xr3:uid="{00000000-0010-0000-0500-000016000000}" name="Ref_ Pd. 4" dataDxfId="123" totalsRowDxfId="122" dataCellStyle="Currency">
      <calculatedColumnFormula>IF(U6&gt;LARGE(tbl_TransDet_Exp[FY_pd Combo],1),tbl_ProjEncumbrances[Pd. 4],"")</calculatedColumnFormula>
    </tableColumn>
    <tableColumn id="7" xr3:uid="{00000000-0010-0000-0500-000007000000}" name="Pd. 5" dataDxfId="121" totalsRowDxfId="120" dataCellStyle="Currency"/>
    <tableColumn id="40" xr3:uid="{00000000-0010-0000-0500-000028000000}" name="Ref_ Pd. 5B" dataDxfId="119" totalsRowDxfId="118" dataCellStyle="Currency">
      <calculatedColumnFormula>VALUE(CONCATENATE(tbl_ProjEncumbrances[[#This Row],[Fiscal Year]],"05"))</calculatedColumnFormula>
    </tableColumn>
    <tableColumn id="23" xr3:uid="{00000000-0010-0000-0500-000017000000}" name="Ref_ Pd. 5" dataDxfId="117" totalsRowDxfId="116" dataCellStyle="Currency">
      <calculatedColumnFormula>IF(X6&gt;LARGE(tbl_TransDet_Exp[FY_pd Combo],1),tbl_ProjEncumbrances[Pd. 5],"")</calculatedColumnFormula>
    </tableColumn>
    <tableColumn id="8" xr3:uid="{00000000-0010-0000-0500-000008000000}" name="Pd. 6" dataDxfId="115" totalsRowDxfId="114" dataCellStyle="Currency"/>
    <tableColumn id="41" xr3:uid="{00000000-0010-0000-0500-000029000000}" name="Ref_ Pd. 6B" dataDxfId="113" totalsRowDxfId="112" dataCellStyle="Currency">
      <calculatedColumnFormula>VALUE(CONCATENATE(tbl_ProjEncumbrances[[#This Row],[Fiscal Year]],"06"))</calculatedColumnFormula>
    </tableColumn>
    <tableColumn id="24" xr3:uid="{00000000-0010-0000-0500-000018000000}" name="Ref_ Pd. 6" dataDxfId="111" totalsRowDxfId="110" dataCellStyle="Currency">
      <calculatedColumnFormula>IF(AA6&gt;LARGE(tbl_TransDet_Exp[FY_pd Combo],1),tbl_ProjEncumbrances[Pd. 6],"")</calculatedColumnFormula>
    </tableColumn>
    <tableColumn id="9" xr3:uid="{00000000-0010-0000-0500-000009000000}" name="Pd. 7" dataDxfId="109" totalsRowDxfId="108" dataCellStyle="Currency"/>
    <tableColumn id="42" xr3:uid="{00000000-0010-0000-0500-00002A000000}" name="Ref_ Pd. 7B" dataDxfId="107" totalsRowDxfId="106" dataCellStyle="Currency">
      <calculatedColumnFormula>VALUE(CONCATENATE(tbl_ProjEncumbrances[[#This Row],[Fiscal Year]],"07"))</calculatedColumnFormula>
    </tableColumn>
    <tableColumn id="25" xr3:uid="{00000000-0010-0000-0500-000019000000}" name="Ref_ Pd. 7" dataDxfId="105" totalsRowDxfId="104" dataCellStyle="Currency">
      <calculatedColumnFormula>IF(AD6&gt;LARGE(tbl_TransDet_Exp[FY_pd Combo],1),tbl_ProjEncumbrances[Pd. 7],"")</calculatedColumnFormula>
    </tableColumn>
    <tableColumn id="10" xr3:uid="{00000000-0010-0000-0500-00000A000000}" name="Pd. 8" dataDxfId="103" totalsRowDxfId="102" dataCellStyle="Currency"/>
    <tableColumn id="43" xr3:uid="{00000000-0010-0000-0500-00002B000000}" name="Ref_ Pd. 8B" dataDxfId="101" totalsRowDxfId="100" dataCellStyle="Currency">
      <calculatedColumnFormula>VALUE(CONCATENATE(tbl_ProjEncumbrances[[#This Row],[Fiscal Year]],"08"))</calculatedColumnFormula>
    </tableColumn>
    <tableColumn id="26" xr3:uid="{00000000-0010-0000-0500-00001A000000}" name="Ref_ Pd. 8" dataDxfId="99" totalsRowDxfId="98" dataCellStyle="Currency">
      <calculatedColumnFormula>IF(AG6&gt;LARGE(tbl_TransDet_Exp[FY_pd Combo],1),tbl_ProjEncumbrances[Pd. 8],"")</calculatedColumnFormula>
    </tableColumn>
    <tableColumn id="11" xr3:uid="{00000000-0010-0000-0500-00000B000000}" name="Pd. 9" dataDxfId="97" totalsRowDxfId="96" dataCellStyle="Currency"/>
    <tableColumn id="44" xr3:uid="{00000000-0010-0000-0500-00002C000000}" name="Ref_ Pd. 9B" dataDxfId="95" totalsRowDxfId="94" dataCellStyle="Currency">
      <calculatedColumnFormula>VALUE(CONCATENATE(tbl_ProjEncumbrances[[#This Row],[Fiscal Year]],"09"))</calculatedColumnFormula>
    </tableColumn>
    <tableColumn id="27" xr3:uid="{00000000-0010-0000-0500-00001B000000}" name="Ref_ Pd. 9" dataDxfId="93" totalsRowDxfId="92" dataCellStyle="Currency">
      <calculatedColumnFormula>IF(AJ6&gt;LARGE(tbl_TransDet_Exp[FY_pd Combo],1),tbl_ProjEncumbrances[Pd. 9],"")</calculatedColumnFormula>
    </tableColumn>
    <tableColumn id="12" xr3:uid="{00000000-0010-0000-0500-00000C000000}" name="Pd. 10" dataDxfId="91" totalsRowDxfId="90" dataCellStyle="Currency"/>
    <tableColumn id="45" xr3:uid="{00000000-0010-0000-0500-00002D000000}" name="Ref_ Pd. 10B" dataDxfId="89" totalsRowDxfId="88" dataCellStyle="Currency">
      <calculatedColumnFormula>VALUE(CONCATENATE(tbl_ProjEncumbrances[[#This Row],[Fiscal Year]],"10"))</calculatedColumnFormula>
    </tableColumn>
    <tableColumn id="28" xr3:uid="{00000000-0010-0000-0500-00001C000000}" name="Ref_ Pd. 10" dataDxfId="87" totalsRowDxfId="86" dataCellStyle="Currency">
      <calculatedColumnFormula>IF(AM6&gt;LARGE(tbl_TransDet_Exp[FY_pd Combo],1),tbl_ProjEncumbrances[Pd. 10],"")</calculatedColumnFormula>
    </tableColumn>
    <tableColumn id="13" xr3:uid="{00000000-0010-0000-0500-00000D000000}" name="Pd. 11" dataDxfId="85" totalsRowDxfId="84" dataCellStyle="Currency"/>
    <tableColumn id="46" xr3:uid="{00000000-0010-0000-0500-00002E000000}" name="Ref_ Pd. 11B" dataDxfId="83" totalsRowDxfId="82" dataCellStyle="Currency">
      <calculatedColumnFormula>VALUE(CONCATENATE(tbl_ProjEncumbrances[[#This Row],[Fiscal Year]],"11"))</calculatedColumnFormula>
    </tableColumn>
    <tableColumn id="29" xr3:uid="{00000000-0010-0000-0500-00001D000000}" name="Ref_ Pd. 11" dataDxfId="81" totalsRowDxfId="80" dataCellStyle="Currency">
      <calculatedColumnFormula>IF(AP6&gt;LARGE(tbl_TransDet_Exp[FY_pd Combo],1),tbl_ProjEncumbrances[Pd. 11],"")</calculatedColumnFormula>
    </tableColumn>
    <tableColumn id="14" xr3:uid="{00000000-0010-0000-0500-00000E000000}" name="Pd. 12" dataDxfId="79" totalsRowDxfId="78" dataCellStyle="Currency"/>
    <tableColumn id="47" xr3:uid="{00000000-0010-0000-0500-00002F000000}" name="Ref_ Pd. 12B" dataDxfId="77" totalsRowDxfId="76" dataCellStyle="Currency">
      <calculatedColumnFormula>VALUE(CONCATENATE(tbl_ProjEncumbrances[[#This Row],[Fiscal Year]],"12"))</calculatedColumnFormula>
    </tableColumn>
    <tableColumn id="30" xr3:uid="{00000000-0010-0000-0500-00001E000000}" name="Ref_ Pd. 12" dataDxfId="75" totalsRowDxfId="74" dataCellStyle="Currency">
      <calculatedColumnFormula>IF(AS6&gt;LARGE(tbl_TransDet_Exp[FY_pd Combo],1),tbl_ProjEncumbrances[Pd. 12],"")</calculatedColumnFormula>
    </tableColumn>
    <tableColumn id="15" xr3:uid="{00000000-0010-0000-0500-00000F000000}" name="Total" dataDxfId="73" totalsRowDxfId="72" dataCellStyle="Currency">
      <calculatedColumnFormula>SUM(tbl_ProjEncumbrances[[#This Row],[Pd. 1]],tbl_ProjEncumbrances[[#This Row],[Pd. 2]],tbl_ProjEncumbrances[[#This Row],[Pd. 3]],tbl_ProjEncumbrances[[#This Row],[Pd. 4]],tbl_ProjEncumbrances[[#This Row],[Pd. 5]],tbl_ProjEncumbrances[[#This Row],[Pd. 6]],tbl_ProjEncumbrances[[#This Row],[Pd. 7]],tbl_ProjEncumbrances[[#This Row],[Pd. 8]],tbl_ProjEncumbrances[[#This Row],[Pd. 9]],tbl_ProjEncumbrances[[#This Row],[Pd. 10]],tbl_ProjEncumbrances[[#This Row],[Pd. 11]],tbl_ProjEncumbrances[[#This Row],[Pd. 12]])</calculatedColumnFormula>
    </tableColumn>
    <tableColumn id="31" xr3:uid="{00000000-0010-0000-0500-00001F000000}" name="Total Remaining" dataDxfId="71" totalsRowDxfId="70" dataCellStyle="Currency">
      <calculatedColumnFormula>IFERROR(SUM(tbl_ProjEncumbrances[[#This Row],[Ref_ Pd. 1]],tbl_ProjEncumbrances[[#This Row],[Ref_ Pd. 2]],tbl_ProjEncumbrances[[#This Row],[Ref_ Pd. 3]],tbl_ProjEncumbrances[[#This Row],[Ref_ Pd. 4]],tbl_ProjEncumbrances[[#This Row],[Ref_ Pd. 5]],tbl_ProjEncumbrances[[#This Row],[Ref_ Pd. 6]],tbl_ProjEncumbrances[[#This Row],[Ref_ Pd. 7]],tbl_ProjEncumbrances[[#This Row],[Ref_ Pd. 8]],tbl_ProjEncumbrances[[#This Row],[Ref_ Pd. 9]],tbl_ProjEncumbrances[[#This Row],[Ref_ Pd. 10]],tbl_ProjEncumbrances[[#This Row],[Ref_ Pd. 11]],tbl_ProjEncumbrances[[#This Row],[Ref_ Pd. 12]]),"")</calculatedColumnFormula>
    </tableColumn>
    <tableColumn id="48" xr3:uid="{00000000-0010-0000-0500-000030000000}" name="Combo" dataDxfId="69" totalsRowDxfId="68">
      <calculatedColumnFormula>TEXT(tbl_ProjEncumbrances[[#This Row],[ Project]],"000000")</calculatedColumnFormula>
    </tableColumn>
    <tableColumn id="50" xr3:uid="{00000000-0010-0000-0500-000032000000}" name="E&amp;G Type" dataDxfId="67" totalsRowDxfId="66">
      <calculatedColumnFormula>INDEX(Table16[Account],MATCH(tbl_ProjEncumbrances[Account],Table16[Lookup],0))</calculatedColumnFormula>
    </tableColumn>
    <tableColumn id="51" xr3:uid="{00000000-0010-0000-0500-000033000000}" name="Budgetary Account" dataDxfId="65" totalsRowDxfId="64">
      <calculatedColumnFormula>INDEX(Table16[Account],MATCH(tbl_ProjEncumbrances[Account],Table16[Lookup],0))</calculatedColumnFormula>
    </tableColumn>
    <tableColumn id="52" xr3:uid="{00000000-0010-0000-0500-000034000000}" name="Account2" dataDxfId="63" totalsRowDxfId="62">
      <calculatedColumnFormula>LEFT(tbl_ProjEncumbrances[Account],6)</calculatedColumnFormula>
    </tableColumn>
  </tableColumns>
  <tableStyleInfo name="TableStyleMedium17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6000000}" name="tbl_projects" displayName="tbl_projects" ref="A2:Y5" totalsRowShown="0" headerRowDxfId="61" dataDxfId="59" headerRowBorderDxfId="60" tableBorderDxfId="58">
  <autoFilter ref="A2:Y5" xr:uid="{00000000-0009-0000-0100-000016000000}"/>
  <tableColumns count="25">
    <tableColumn id="1" xr3:uid="{00000000-0010-0000-0600-000001000000}" name="Contract" dataDxfId="57" dataCellStyle="Normal 20"/>
    <tableColumn id="2" xr3:uid="{00000000-0010-0000-0600-000002000000}" name="Project" dataDxfId="56" dataCellStyle="Normal 20"/>
    <tableColumn id="3" xr3:uid="{00000000-0010-0000-0600-000003000000}" name="Project Dept" dataDxfId="55" dataCellStyle="Normal 20"/>
    <tableColumn id="4" xr3:uid="{00000000-0010-0000-0600-000004000000}" name="Fund" dataDxfId="54" dataCellStyle="Normal 20"/>
    <tableColumn id="5" xr3:uid="{00000000-0010-0000-0600-000005000000}" name="Sponsor" dataDxfId="53" dataCellStyle="Normal 20"/>
    <tableColumn id="6" xr3:uid="{00000000-0010-0000-0600-000006000000}" name="Description" dataDxfId="52" dataCellStyle="Normal 20"/>
    <tableColumn id="7" xr3:uid="{00000000-0010-0000-0600-000007000000}" name="Ref Awd #" dataDxfId="51" dataCellStyle="Normal 20"/>
    <tableColumn id="8" xr3:uid="{00000000-0010-0000-0600-000008000000}" name="Award PI" dataDxfId="50" dataCellStyle="Normal 20"/>
    <tableColumn id="9" xr3:uid="{00000000-0010-0000-0600-000009000000}" name="Empl ID" dataDxfId="49" dataCellStyle="Normal 20"/>
    <tableColumn id="10" xr3:uid="{00000000-0010-0000-0600-00000A000000}" name="Proj Begin Date" dataDxfId="48" dataCellStyle="Normal 20"/>
    <tableColumn id="11" xr3:uid="{00000000-0010-0000-0600-00000B000000}" name="Proj End Date" dataDxfId="47" dataCellStyle="Normal 20"/>
    <tableColumn id="12" xr3:uid="{00000000-0010-0000-0600-00000C000000}" name="Current Status Descr" dataDxfId="46" dataCellStyle="Normal 20"/>
    <tableColumn id="13" xr3:uid="{00000000-0010-0000-0600-00000D000000}" name="FA Rate %" dataDxfId="45" dataCellStyle="Normal 20"/>
    <tableColumn id="14" xr3:uid="{00000000-0010-0000-0600-00000E000000}" name="FA Base" dataDxfId="44" dataCellStyle="Normal 20"/>
    <tableColumn id="15" xr3:uid="{00000000-0010-0000-0600-00000F000000}" name="CFDA" dataDxfId="43" dataCellStyle="Normal 20"/>
    <tableColumn id="24" xr3:uid="{00000000-0010-0000-0600-000018000000}" name="Project Team EmplID" dataDxfId="42" dataCellStyle="Normal 20"/>
    <tableColumn id="23" xr3:uid="{00000000-0010-0000-0600-000017000000}" name="Project PI/Co-PI Name" dataDxfId="41" dataCellStyle="Normal 20"/>
    <tableColumn id="25" xr3:uid="{00000000-0010-0000-0600-000019000000}" name="Project Role" dataDxfId="40" dataCellStyle="Normal 20"/>
    <tableColumn id="16" xr3:uid="{00000000-0010-0000-0600-000010000000}" name="Concat" dataDxfId="39">
      <calculatedColumnFormula>TEXT(tbl_projects[[#This Row],[Project]],"000000")</calculatedColumnFormula>
    </tableColumn>
    <tableColumn id="17" xr3:uid="{00000000-0010-0000-0600-000011000000}" name="Base2" dataDxfId="38">
      <calculatedColumnFormula>IF(tbl_projects[[#This Row],[FA Base]]="NA","N/A",IF(tbl_projects[[#This Row],[FA Base]]="MD","MTDC",IF(tbl_projects[[#This Row],[FA Base]]="TD","TDC","")))</calculatedColumnFormula>
    </tableColumn>
    <tableColumn id="18" xr3:uid="{00000000-0010-0000-0600-000012000000}" name="Formatted Project" dataDxfId="37">
      <calculatedColumnFormula>TEXT(tbl_projects[[#This Row],[Project]],"000000")</calculatedColumnFormula>
    </tableColumn>
    <tableColumn id="21" xr3:uid="{00000000-0010-0000-0600-000015000000}" name="Project &amp; Fund" dataDxfId="36">
      <calculatedColumnFormula>CONCATENATE(tbl_projects[[#This Row],[Formatted Project]],tbl_projects[[#This Row],[Fund]])</calculatedColumnFormula>
    </tableColumn>
    <tableColumn id="19" xr3:uid="{00000000-0010-0000-0600-000013000000}" name="Proj Count" dataDxfId="35">
      <calculatedColumnFormula>COUNTIF(tbl_projects[Formatted Project],tbl_projects[[#This Row],[Formatted Project]])</calculatedColumnFormula>
    </tableColumn>
    <tableColumn id="20" xr3:uid="{00000000-0010-0000-0600-000014000000}" name="Proj Count2" dataDxfId="34">
      <calculatedColumnFormula>IF(tbl_projects[[#This Row],[Proj Count]]&gt;1,COUNTIF(tbl_projects[Project &amp; Fund],tbl_projects[[#This Row],[Project &amp; Fund]]),"")</calculatedColumnFormula>
    </tableColumn>
    <tableColumn id="22" xr3:uid="{00000000-0010-0000-0600-000016000000}" name="Cost Share?" dataDxfId="33">
      <calculatedColumnFormula>IF(tbl_projects[[#This Row],[Proj Count]]=1,"NO",IF(tbl_projects[[#This Row],[Proj Count]]=tbl_projects[[#This Row],[Proj Count2]],"NO","YES"))</calculatedColumnFormula>
    </tableColumn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07000000}" name="tbl_proj_bud" displayName="tbl_proj_bud" ref="A2:I5" totalsRowShown="0" headerRowDxfId="32" dataDxfId="31" dataCellStyle="Comma">
  <autoFilter ref="A2:I5" xr:uid="{00000000-0009-0000-0100-00001B000000}"/>
  <tableColumns count="9">
    <tableColumn id="1" xr3:uid="{00000000-0010-0000-0700-000001000000}" name="Dept" dataDxfId="30" dataCellStyle="Normal 20"/>
    <tableColumn id="2" xr3:uid="{00000000-0010-0000-0700-000002000000}" name="Fund" dataDxfId="29" dataCellStyle="Comma"/>
    <tableColumn id="3" xr3:uid="{00000000-0010-0000-0700-000003000000}" name="Project" dataDxfId="28" dataCellStyle="Comma"/>
    <tableColumn id="4" xr3:uid="{00000000-0010-0000-0700-000004000000}" name="Item" dataDxfId="27" dataCellStyle="Comma"/>
    <tableColumn id="5" xr3:uid="{00000000-0010-0000-0700-000005000000}" name="Res Category" dataDxfId="26" dataCellStyle="Comma"/>
    <tableColumn id="6" xr3:uid="{00000000-0010-0000-0700-000006000000}" name="Cumul Amount" dataDxfId="25" dataCellStyle="Comma"/>
    <tableColumn id="7" xr3:uid="{00000000-0010-0000-0700-000007000000}" name="Formatted Project" dataDxfId="24" dataCellStyle="Comma">
      <calculatedColumnFormula>TEXT(tbl_proj_bud[[#This Row],[Project]],"000000")</calculatedColumnFormula>
    </tableColumn>
    <tableColumn id="8" xr3:uid="{00000000-0010-0000-0700-000008000000}" name="Budget Category" dataDxfId="23" dataCellStyle="Comma">
      <calculatedColumnFormula>IF(tbl_proj_bud[[#This Row],[Custom Budget Category]]="",INDEX(Table4[Lookup],MATCH(tbl_proj_bud[[#This Row],[Res Category]],Table4[Descr. ],0)),tbl_proj_bud[[#This Row],[Custom Budget Category]])</calculatedColumnFormula>
    </tableColumn>
    <tableColumn id="9" xr3:uid="{00000000-0010-0000-0700-000009000000}" name="Custom Budget Category" dataDxfId="22" dataCellStyle="Comma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8000000}" name="Table4" displayName="Table4" ref="A2:B35" totalsRowShown="0">
  <autoFilter ref="A2:B35" xr:uid="{00000000-0009-0000-0100-000004000000}"/>
  <tableColumns count="2">
    <tableColumn id="1" xr3:uid="{00000000-0010-0000-0800-000001000000}" name="Descr. "/>
    <tableColumn id="2" xr3:uid="{00000000-0010-0000-0800-000002000000}" name="Lookup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financials.omni.fsu.edu/psp/sprdfi_1/EMPLOYEE/ERP/c/ENTER_VOUCHER_INFORMATION.VCHR_EXPRESS.GBL?Page=VCHR_EXPRESS1&amp;Action=U&amp;BUSINESS_UNIT=FSU01&amp;VOUCHER_ID=" TargetMode="External"/><Relationship Id="rId2" Type="http://schemas.openxmlformats.org/officeDocument/2006/relationships/hyperlink" Target="https://docmgmt.its.fsu.edu/NolijWeb/public/apiLoginCheck.jsp?redir=../documentviewer/%3FdocumentId%3D" TargetMode="External"/><Relationship Id="rId1" Type="http://schemas.openxmlformats.org/officeDocument/2006/relationships/hyperlink" Target="https://financials.omni.fsu.edu/psp/sprdfi/EMPLOYEE/ERP/c/AUDIT_EXPENSE_FUNCTIONS.TE_EXP_SHEET_INQ.GBL?SHEET_ID=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A1:T45"/>
  <sheetViews>
    <sheetView workbookViewId="0">
      <selection activeCell="M8" sqref="M8"/>
    </sheetView>
  </sheetViews>
  <sheetFormatPr defaultColWidth="9.1796875" defaultRowHeight="13"/>
  <cols>
    <col min="1" max="1" width="10.7265625" style="17" customWidth="1"/>
    <col min="2" max="2" width="23.81640625" style="17" bestFit="1" customWidth="1"/>
    <col min="3" max="3" width="13.54296875" style="17" hidden="1" customWidth="1"/>
    <col min="4" max="4" width="13.54296875" style="43" bestFit="1" customWidth="1"/>
    <col min="5" max="9" width="13.26953125" style="43" customWidth="1"/>
    <col min="10" max="10" width="3.54296875" style="17" customWidth="1"/>
    <col min="11" max="11" width="17.7265625" style="17" bestFit="1" customWidth="1"/>
    <col min="12" max="13" width="12.54296875" style="17" bestFit="1" customWidth="1"/>
    <col min="14" max="14" width="8.26953125" style="17" bestFit="1" customWidth="1"/>
    <col min="15" max="19" width="9.1796875" style="17"/>
    <col min="20" max="20" width="0" style="17" hidden="1" customWidth="1"/>
    <col min="21" max="16384" width="9.1796875" style="17"/>
  </cols>
  <sheetData>
    <row r="1" spans="1:20" ht="30.75" customHeight="1">
      <c r="A1" s="270" t="s">
        <v>1512</v>
      </c>
      <c r="B1" s="270"/>
      <c r="C1" s="270"/>
      <c r="D1" s="270"/>
      <c r="E1" s="270"/>
      <c r="F1" s="270"/>
      <c r="G1" s="270"/>
      <c r="H1" s="270"/>
      <c r="I1" s="270"/>
      <c r="J1"/>
      <c r="K1"/>
      <c r="T1" s="18">
        <f ca="1">TODAY()</f>
        <v>45531</v>
      </c>
    </row>
    <row r="2" spans="1:20" ht="30.75" customHeight="1">
      <c r="A2" s="271" t="e">
        <f>CONCATENATE(INDEX('E&amp;G Budgets'!H:H,MATCH(G3,'E&amp;G Budgets'!G:G,0))," - ",INDEX('E&amp;G Budgets'!F:F,MATCH(I3,'E&amp;G Budgets'!E:E,0)))</f>
        <v>#N/A</v>
      </c>
      <c r="B2" s="271"/>
      <c r="C2" s="271"/>
      <c r="D2" s="271"/>
      <c r="E2" s="271"/>
      <c r="F2" s="271"/>
      <c r="G2" s="271"/>
      <c r="H2" s="271"/>
      <c r="I2" s="271"/>
      <c r="J2"/>
      <c r="K2"/>
    </row>
    <row r="3" spans="1:20" ht="15" thickBot="1">
      <c r="A3" s="19"/>
      <c r="B3" s="19"/>
      <c r="C3" s="53"/>
      <c r="D3" s="21"/>
      <c r="E3" s="17"/>
      <c r="F3" s="22" t="s">
        <v>1720</v>
      </c>
      <c r="G3" s="50"/>
      <c r="H3" s="22" t="s">
        <v>1697</v>
      </c>
      <c r="I3" s="51"/>
    </row>
    <row r="4" spans="1:20" ht="14.5">
      <c r="A4" s="80"/>
      <c r="B4" s="81"/>
      <c r="C4" s="71"/>
      <c r="D4" s="267" t="s">
        <v>1721</v>
      </c>
      <c r="E4" s="268"/>
      <c r="F4" s="268"/>
      <c r="G4" s="268"/>
      <c r="H4" s="269"/>
      <c r="I4" s="70" t="s">
        <v>1719</v>
      </c>
      <c r="K4" s="255" t="s">
        <v>1698</v>
      </c>
      <c r="L4" s="256"/>
      <c r="M4" s="257"/>
    </row>
    <row r="5" spans="1:20" ht="14.5">
      <c r="A5" s="252" t="s">
        <v>1396</v>
      </c>
      <c r="B5" s="253"/>
      <c r="C5" s="254"/>
      <c r="D5" s="84" t="s">
        <v>1299</v>
      </c>
      <c r="E5" s="85" t="s">
        <v>1686</v>
      </c>
      <c r="F5" s="85" t="s">
        <v>1467</v>
      </c>
      <c r="G5" s="85" t="s">
        <v>1301</v>
      </c>
      <c r="H5" s="86" t="s">
        <v>1302</v>
      </c>
      <c r="I5" s="87"/>
      <c r="K5" s="27" t="s">
        <v>1315</v>
      </c>
      <c r="L5" s="28"/>
      <c r="M5" s="12"/>
    </row>
    <row r="6" spans="1:20" ht="14.5">
      <c r="A6" s="249" t="s">
        <v>1665</v>
      </c>
      <c r="B6" s="250"/>
      <c r="C6" s="251"/>
      <c r="D6" s="57">
        <f>SUM(D7:D9)</f>
        <v>0</v>
      </c>
      <c r="E6" s="46">
        <f>SUM(E7:E9)</f>
        <v>0</v>
      </c>
      <c r="F6" s="46">
        <f t="shared" ref="F6:G6" si="0">SUM(F7:F9)</f>
        <v>0</v>
      </c>
      <c r="G6" s="46">
        <f t="shared" si="0"/>
        <v>0</v>
      </c>
      <c r="H6" s="58">
        <f>SUM(H7:H9)</f>
        <v>0</v>
      </c>
      <c r="I6" s="67"/>
      <c r="K6" s="27" t="s">
        <v>1316</v>
      </c>
      <c r="L6" s="28"/>
      <c r="M6" s="12"/>
    </row>
    <row r="7" spans="1:20" ht="13" customHeight="1">
      <c r="A7" s="72"/>
      <c r="B7" s="24" t="s">
        <v>1666</v>
      </c>
      <c r="C7" s="73"/>
      <c r="D7" s="59">
        <f>SUMIFS(Table13[Budget Amount],Table13[Budgetary Account],"7102*",Table13[Department ID],G3,Table13[Fund Id],I3)</f>
        <v>0</v>
      </c>
      <c r="E7" s="23">
        <f>SUMIFS(tbl_ProjEncumbrances[Total Remaining],tbl_ProjEncumbrances[Budgetary Account],B7,tbl_ProjEncumbrances[[ Department]],$G$3,tbl_ProjEncumbrances[[ Fund]],$I$3,tbl_ProjEncumbrances[[ Project]],"")</f>
        <v>0</v>
      </c>
      <c r="F7" s="23">
        <f>SUMIFS(tbl_TransDet_Enc[Amount],tbl_TransDet_Enc[Budgetary Account],"7102*",tbl_TransDet_Enc[Department Id],G3,tbl_TransDet_Enc[Fund Code],I3)</f>
        <v>0</v>
      </c>
      <c r="G7" s="23">
        <f>SUMIFS(tbl_TransDet_Exp[Amount],tbl_TransDet_Exp[Budgetary Account],"7102*",tbl_TransDet_Exp[Department ID],G3,tbl_TransDet_Exp[Fund Id],I3)</f>
        <v>0</v>
      </c>
      <c r="H7" s="60">
        <f>D7-E7-F7-G7</f>
        <v>0</v>
      </c>
      <c r="I7" s="68">
        <f>SUMIFS(tbl_TransDet_Exp[Amount],tbl_TransDet_Exp[Budgetary Account],"7102*",tbl_TransDet_Exp[Department ID],G3,tbl_TransDet_Exp[Fund Id],I3,tbl_TransDet_Exp[FY_pd Combo],MAX(tbl_TransDet_Exp[FY_pd Combo]))</f>
        <v>0</v>
      </c>
      <c r="K7" s="27" t="s">
        <v>1317</v>
      </c>
      <c r="L7" s="28"/>
      <c r="M7" s="12"/>
    </row>
    <row r="8" spans="1:20" ht="14.5">
      <c r="A8" s="72"/>
      <c r="B8" s="24" t="s">
        <v>1667</v>
      </c>
      <c r="C8" s="73"/>
      <c r="D8" s="59">
        <f>SUMIFS(Table13[Budget Amount],Table13[Budgetary Account],"7103*",Table13[Department ID],G3,Table13[Fund Id],I3)</f>
        <v>0</v>
      </c>
      <c r="E8" s="23">
        <f>SUMIFS(tbl_ProjEncumbrances[Total Remaining],tbl_ProjEncumbrances[Budgetary Account],B8,tbl_ProjEncumbrances[[ Department]],$G$3,tbl_ProjEncumbrances[[ Fund]],$I$3,tbl_ProjEncumbrances[[ Project]],"")</f>
        <v>0</v>
      </c>
      <c r="F8" s="23">
        <f>SUMIFS(tbl_TransDet_Enc[Amount],tbl_TransDet_Enc[Budgetary Account],"7103*",tbl_TransDet_Enc[Department Id],G3,tbl_TransDet_Enc[Fund Code],I3)</f>
        <v>0</v>
      </c>
      <c r="G8" s="23">
        <f>SUMIFS(tbl_TransDet_Exp[Amount],tbl_TransDet_Exp[Budgetary Account],"7103*",tbl_TransDet_Exp[Department ID],G3,tbl_TransDet_Exp[Fund Id],I3)</f>
        <v>0</v>
      </c>
      <c r="H8" s="60">
        <f t="shared" ref="H8:H29" si="1">D8-E8-F8-G8</f>
        <v>0</v>
      </c>
      <c r="I8" s="68">
        <f>SUMIFS(tbl_TransDet_Exp[Amount],tbl_TransDet_Exp[Budgetary Account],"7103*",tbl_TransDet_Exp[Department ID],G3,tbl_TransDet_Exp[Fund Id],I3,tbl_TransDet_Exp[FY_pd Combo],MAX(tbl_TransDet_Exp[FY_pd Combo]))</f>
        <v>0</v>
      </c>
      <c r="K8" s="27" t="s">
        <v>1318</v>
      </c>
      <c r="L8" s="28"/>
      <c r="M8" s="29"/>
    </row>
    <row r="9" spans="1:20" ht="14.5">
      <c r="A9" s="72"/>
      <c r="B9" s="24" t="s">
        <v>1668</v>
      </c>
      <c r="C9" s="73"/>
      <c r="D9" s="59">
        <f>SUMIFS(Table13[Budget Amount],Table13[Budgetary Account],"7104*",Table13[Department ID],G3,Table13[Fund Id],I3)</f>
        <v>0</v>
      </c>
      <c r="E9" s="23">
        <f>SUMIFS(tbl_ProjEncumbrances[Total Remaining],tbl_ProjEncumbrances[Budgetary Account],B9,tbl_ProjEncumbrances[[ Department]],$G$3,tbl_ProjEncumbrances[[ Fund]],$I$3,tbl_ProjEncumbrances[[ Project]],"")</f>
        <v>0</v>
      </c>
      <c r="F9" s="23">
        <f>SUMIFS(tbl_TransDet_Enc[Amount],tbl_TransDet_Enc[Budgetary Account],"7104*",tbl_TransDet_Enc[Department Id],G3,tbl_TransDet_Enc[Fund Code],I3)</f>
        <v>0</v>
      </c>
      <c r="G9" s="23">
        <f>SUMIFS(tbl_TransDet_Exp[Amount],tbl_TransDet_Exp[Budgetary Account],"7104*",tbl_TransDet_Exp[Department ID],G3,tbl_TransDet_Exp[Fund Id],I3)</f>
        <v>0</v>
      </c>
      <c r="H9" s="60">
        <f t="shared" si="1"/>
        <v>0</v>
      </c>
      <c r="I9" s="68">
        <f>SUMIFS(tbl_TransDet_Exp[Amount],tbl_TransDet_Exp[Budgetary Account],"7104*",tbl_TransDet_Exp[Department ID],G3,tbl_TransDet_Exp[Fund Id],I3,tbl_TransDet_Exp[FY_pd Combo],MAX(tbl_TransDet_Exp[FY_pd Combo]))</f>
        <v>0</v>
      </c>
      <c r="K9" s="88"/>
      <c r="L9" s="89"/>
      <c r="M9" s="90"/>
    </row>
    <row r="10" spans="1:20" ht="14.5">
      <c r="A10" s="249" t="s">
        <v>1388</v>
      </c>
      <c r="B10" s="250"/>
      <c r="C10" s="251"/>
      <c r="D10" s="61">
        <f>SUMIFS(Table13[Budget Amount],Table13[Budgetary Account],"72*",Table13[Department ID],G3,Table13[Fund Id],I3)</f>
        <v>0</v>
      </c>
      <c r="E10" s="47">
        <f>SUMIFS(tbl_ProjEncumbrances[Total Remaining],tbl_ProjEncumbrances[Budgetary Account],A10,tbl_ProjEncumbrances[[ Department]],$G$3,tbl_ProjEncumbrances[[ Fund]],$I$3,tbl_ProjEncumbrances[[ Project]],"")</f>
        <v>0</v>
      </c>
      <c r="F10" s="47">
        <f>SUMIFS(tbl_TransDet_Enc[Amount],tbl_TransDet_Enc[Budgetary Account],"72*",tbl_TransDet_Enc[Department Id],G3,tbl_TransDet_Enc[Fund Code],I3)</f>
        <v>0</v>
      </c>
      <c r="G10" s="47">
        <f>SUMIFS(tbl_TransDet_Exp[Amount],tbl_TransDet_Exp[Budgetary Account],"72*",tbl_TransDet_Exp[Department ID],G3,tbl_TransDet_Exp[Fund Id],I3)</f>
        <v>0</v>
      </c>
      <c r="H10" s="58">
        <f t="shared" si="1"/>
        <v>0</v>
      </c>
      <c r="I10" s="82">
        <f>SUMIFS(tbl_TransDet_Exp[Amount],tbl_TransDet_Exp[Budgetary Account],"72*",tbl_TransDet_Exp[Department ID],G3,tbl_TransDet_Exp[Fund Id],I3,tbl_TransDet_Exp[FY_pd Combo],MAX(tbl_TransDet_Exp[FY_pd Combo]))</f>
        <v>0</v>
      </c>
      <c r="K10" s="27" t="s">
        <v>1687</v>
      </c>
      <c r="L10" s="28"/>
      <c r="M10" s="31">
        <f>$E$30</f>
        <v>0</v>
      </c>
    </row>
    <row r="11" spans="1:20" ht="15" thickBot="1">
      <c r="A11" s="249" t="s">
        <v>1609</v>
      </c>
      <c r="B11" s="250"/>
      <c r="C11" s="251"/>
      <c r="D11" s="57">
        <f>SUMIFS(Table13[Budget Amount],Table13[Budgetary Account],"74*",Table13[Department ID],G3,Table13[Fund Id],I3)</f>
        <v>0</v>
      </c>
      <c r="E11" s="46">
        <f>SUM(E12:E27)</f>
        <v>0</v>
      </c>
      <c r="F11" s="46">
        <f>F12+F13</f>
        <v>0</v>
      </c>
      <c r="G11" s="46">
        <f>SUM(G12:G27)</f>
        <v>0</v>
      </c>
      <c r="H11" s="58">
        <f>D11-E11-F11-G11</f>
        <v>0</v>
      </c>
      <c r="I11" s="67">
        <f>SUM(I12:I27)</f>
        <v>0</v>
      </c>
      <c r="K11" s="32" t="s">
        <v>1319</v>
      </c>
      <c r="L11" s="33"/>
      <c r="M11" s="34">
        <f>M8-M10</f>
        <v>0</v>
      </c>
    </row>
    <row r="12" spans="1:20" ht="14.5">
      <c r="A12" s="74"/>
      <c r="B12" s="20" t="s">
        <v>1674</v>
      </c>
      <c r="C12" s="73" t="s">
        <v>1674</v>
      </c>
      <c r="D12" s="62"/>
      <c r="E12" s="23">
        <f>SUMIFS(tbl_ProjEncumbrances[Total Remaining],tbl_ProjEncumbrances[Budgetary Account],B12,tbl_ProjEncumbrances[[ Department]],$G$3,tbl_ProjEncumbrances[[ Fund]],$I$3,tbl_ProjEncumbrances[[ Project]],"")</f>
        <v>0</v>
      </c>
      <c r="F12" s="23">
        <f>SUMIFS(tbl_TransDet_Enc[Amount],tbl_TransDet_Enc[Department Id],$G$3,tbl_TransDet_Enc[Fund Code],$I$3,tbl_TransDet_Enc[E&amp;G Type],C12)</f>
        <v>0</v>
      </c>
      <c r="G12" s="23">
        <f>SUMIFS(tbl_TransDet_Exp[Amount],tbl_TransDet_Exp[Department ID],$G$3,tbl_TransDet_Exp[Fund Id],$I$3,tbl_TransDet_Exp[E&amp;G Type],C12)</f>
        <v>0</v>
      </c>
      <c r="H12" s="63"/>
      <c r="I12" s="83">
        <f>SUMIFS(tbl_TransDet_Exp[Amount],tbl_TransDet_Exp[Department ID],$G$3,tbl_TransDet_Exp[Fund Id],$I$3,tbl_TransDet_Exp[E&amp;G Type],C12,tbl_TransDet_Exp[FY_pd Combo],MAX(tbl_TransDet_Exp[FY_pd Combo]))</f>
        <v>0</v>
      </c>
    </row>
    <row r="13" spans="1:20" ht="14.5">
      <c r="A13" s="74"/>
      <c r="B13" s="20" t="s">
        <v>1711</v>
      </c>
      <c r="C13" s="73" t="s">
        <v>1681</v>
      </c>
      <c r="D13" s="62"/>
      <c r="E13" s="23">
        <f>SUMIFS(tbl_ProjEncumbrances[Total Remaining],tbl_ProjEncumbrances[Budgetary Account],B13,tbl_ProjEncumbrances[[ Department]],$G$3,tbl_ProjEncumbrances[[ Fund]],$I$3,tbl_ProjEncumbrances[[ Project]],"")</f>
        <v>0</v>
      </c>
      <c r="F13" s="23">
        <f>SUMIFS(tbl_TransDet_Enc[Amount],tbl_TransDet_Enc[Department Id],$G$3,tbl_TransDet_Enc[Fund Code],$I$3,tbl_TransDet_Enc[E&amp;G Type],C13)</f>
        <v>0</v>
      </c>
      <c r="G13" s="23">
        <f>SUMIFS(tbl_TransDet_Exp[Amount],tbl_TransDet_Exp[Department ID],$G$3,tbl_TransDet_Exp[Fund Id],$I$3,tbl_TransDet_Exp[E&amp;G Type],C13)</f>
        <v>0</v>
      </c>
      <c r="H13" s="63"/>
      <c r="I13" s="83">
        <f>SUMIFS(tbl_TransDet_Exp[Amount],tbl_TransDet_Exp[Department ID],$G$3,tbl_TransDet_Exp[Fund Id],$I$3,tbl_TransDet_Exp[E&amp;G Type],C13,tbl_TransDet_Exp[FY_pd Combo],MAX(tbl_TransDet_Exp[FY_pd Combo]))</f>
        <v>0</v>
      </c>
      <c r="M13" s="55">
        <f>M11-H30</f>
        <v>0</v>
      </c>
      <c r="N13" s="56" t="s">
        <v>1320</v>
      </c>
    </row>
    <row r="14" spans="1:20" ht="15">
      <c r="A14" s="74"/>
      <c r="B14" s="20" t="s">
        <v>1684</v>
      </c>
      <c r="C14" s="73" t="s">
        <v>1684</v>
      </c>
      <c r="D14" s="62"/>
      <c r="E14" s="23">
        <f>SUMIFS(tbl_ProjEncumbrances[Total Remaining],tbl_ProjEncumbrances[Budgetary Account],B14,tbl_ProjEncumbrances[[ Department]],$G$3,tbl_ProjEncumbrances[[ Fund]],$I$3,tbl_ProjEncumbrances[[ Project]],"")</f>
        <v>0</v>
      </c>
      <c r="F14" s="23">
        <f>SUMIFS(tbl_TransDet_Enc[Amount],tbl_TransDet_Enc[Department Id],$G$3,tbl_TransDet_Enc[Fund Code],$I$3,tbl_TransDet_Enc[E&amp;G Type],C14)</f>
        <v>0</v>
      </c>
      <c r="G14" s="23">
        <f>SUMIFS(tbl_TransDet_Exp[Amount],tbl_TransDet_Exp[Department ID],$G$3,tbl_TransDet_Exp[Fund Id],$I$3,tbl_TransDet_Exp[E&amp;G Type],C14)</f>
        <v>0</v>
      </c>
      <c r="H14" s="63"/>
      <c r="I14" s="83">
        <f>SUMIFS(tbl_TransDet_Exp[Amount],tbl_TransDet_Exp[Department ID],$G$3,tbl_TransDet_Exp[Fund Id],$I$3,tbl_TransDet_Exp[E&amp;G Type],C14,tbl_TransDet_Exp[FY_pd Combo],MAX(tbl_TransDet_Exp[FY_pd Combo]))</f>
        <v>0</v>
      </c>
      <c r="J14"/>
      <c r="K14"/>
    </row>
    <row r="15" spans="1:20" ht="15">
      <c r="A15" s="74"/>
      <c r="B15" s="20" t="s">
        <v>1683</v>
      </c>
      <c r="C15" s="73" t="s">
        <v>1683</v>
      </c>
      <c r="D15" s="62"/>
      <c r="E15" s="23">
        <f>SUMIFS(tbl_ProjEncumbrances[Total Remaining],tbl_ProjEncumbrances[Budgetary Account],B15,tbl_ProjEncumbrances[[ Department]],$G$3,tbl_ProjEncumbrances[[ Fund]],$I$3,tbl_ProjEncumbrances[[ Project]],"")</f>
        <v>0</v>
      </c>
      <c r="F15" s="23">
        <f>SUMIFS(tbl_TransDet_Enc[Amount],tbl_TransDet_Enc[Department Id],$G$3,tbl_TransDet_Enc[Fund Code],$I$3,tbl_TransDet_Enc[E&amp;G Type],C15)</f>
        <v>0</v>
      </c>
      <c r="G15" s="23">
        <f>SUMIFS(tbl_TransDet_Exp[Amount],tbl_TransDet_Exp[Department ID],$G$3,tbl_TransDet_Exp[Fund Id],$I$3,tbl_TransDet_Exp[E&amp;G Type],C15)</f>
        <v>0</v>
      </c>
      <c r="H15" s="63"/>
      <c r="I15" s="83">
        <f>SUMIFS(tbl_TransDet_Exp[Amount],tbl_TransDet_Exp[Department ID],$G$3,tbl_TransDet_Exp[Fund Id],$I$3,tbl_TransDet_Exp[E&amp;G Type],C15,tbl_TransDet_Exp[FY_pd Combo],MAX(tbl_TransDet_Exp[FY_pd Combo]))</f>
        <v>0</v>
      </c>
      <c r="J15"/>
      <c r="K15"/>
    </row>
    <row r="16" spans="1:20" ht="15">
      <c r="A16" s="74"/>
      <c r="B16" s="20" t="s">
        <v>1712</v>
      </c>
      <c r="C16" s="73" t="s">
        <v>1679</v>
      </c>
      <c r="D16" s="62"/>
      <c r="E16" s="23">
        <f>SUMIFS(tbl_ProjEncumbrances[Total Remaining],tbl_ProjEncumbrances[Budgetary Account],B16,tbl_ProjEncumbrances[[ Department]],$G$3,tbl_ProjEncumbrances[[ Fund]],$I$3,tbl_ProjEncumbrances[[ Project]],"")</f>
        <v>0</v>
      </c>
      <c r="F16" s="23">
        <f>SUMIFS(tbl_TransDet_Enc[Amount],tbl_TransDet_Enc[Department Id],$G$3,tbl_TransDet_Enc[Fund Code],$I$3,tbl_TransDet_Enc[E&amp;G Type],C16)</f>
        <v>0</v>
      </c>
      <c r="G16" s="23">
        <f>SUMIFS(tbl_TransDet_Exp[Amount],tbl_TransDet_Exp[Department ID],$G$3,tbl_TransDet_Exp[Fund Id],$I$3,tbl_TransDet_Exp[E&amp;G Type],C16)</f>
        <v>0</v>
      </c>
      <c r="H16" s="63"/>
      <c r="I16" s="83">
        <f>SUMIFS(tbl_TransDet_Exp[Amount],tbl_TransDet_Exp[Department ID],$G$3,tbl_TransDet_Exp[Fund Id],$I$3,tbl_TransDet_Exp[E&amp;G Type],C16,tbl_TransDet_Exp[FY_pd Combo],MAX(tbl_TransDet_Exp[FY_pd Combo]))</f>
        <v>0</v>
      </c>
      <c r="J16"/>
      <c r="K16"/>
    </row>
    <row r="17" spans="1:11" ht="15">
      <c r="A17" s="74"/>
      <c r="B17" s="20" t="s">
        <v>1676</v>
      </c>
      <c r="C17" s="73" t="s">
        <v>1676</v>
      </c>
      <c r="D17" s="62"/>
      <c r="E17" s="23">
        <f>SUMIFS(tbl_ProjEncumbrances[Total Remaining],tbl_ProjEncumbrances[Budgetary Account],B17,tbl_ProjEncumbrances[[ Department]],$G$3,tbl_ProjEncumbrances[[ Fund]],$I$3,tbl_ProjEncumbrances[[ Project]],"")</f>
        <v>0</v>
      </c>
      <c r="F17" s="23">
        <f>SUMIFS(tbl_TransDet_Enc[Amount],tbl_TransDet_Enc[Department Id],$G$3,tbl_TransDet_Enc[Fund Code],$I$3,tbl_TransDet_Enc[E&amp;G Type],C17)</f>
        <v>0</v>
      </c>
      <c r="G17" s="23">
        <f>SUMIFS(tbl_TransDet_Exp[Amount],tbl_TransDet_Exp[Department ID],$G$3,tbl_TransDet_Exp[Fund Id],$I$3,tbl_TransDet_Exp[E&amp;G Type],C17)</f>
        <v>0</v>
      </c>
      <c r="H17" s="63"/>
      <c r="I17" s="83">
        <f>SUMIFS(tbl_TransDet_Exp[Amount],tbl_TransDet_Exp[Department ID],$G$3,tbl_TransDet_Exp[Fund Id],$I$3,tbl_TransDet_Exp[E&amp;G Type],C17,tbl_TransDet_Exp[FY_pd Combo],MAX(tbl_TransDet_Exp[FY_pd Combo]))</f>
        <v>0</v>
      </c>
      <c r="J17"/>
      <c r="K17"/>
    </row>
    <row r="18" spans="1:11" ht="15">
      <c r="A18" s="74"/>
      <c r="B18" s="20" t="s">
        <v>1713</v>
      </c>
      <c r="C18" s="73" t="s">
        <v>1671</v>
      </c>
      <c r="D18" s="62"/>
      <c r="E18" s="23">
        <f>SUMIFS(tbl_ProjEncumbrances[Total Remaining],tbl_ProjEncumbrances[Budgetary Account],B18,tbl_ProjEncumbrances[[ Department]],$G$3,tbl_ProjEncumbrances[[ Fund]],$I$3,tbl_ProjEncumbrances[[ Project]],"")</f>
        <v>0</v>
      </c>
      <c r="F18" s="23">
        <f>SUMIFS(tbl_TransDet_Enc[Amount],tbl_TransDet_Enc[Department Id],$G$3,tbl_TransDet_Enc[Fund Code],$I$3,tbl_TransDet_Enc[E&amp;G Type],C18)</f>
        <v>0</v>
      </c>
      <c r="G18" s="23">
        <f>SUMIFS(tbl_TransDet_Exp[Amount],tbl_TransDet_Exp[Department ID],$G$3,tbl_TransDet_Exp[Fund Id],$I$3,tbl_TransDet_Exp[E&amp;G Type],C18)</f>
        <v>0</v>
      </c>
      <c r="H18" s="63"/>
      <c r="I18" s="83">
        <f>SUMIFS(tbl_TransDet_Exp[Amount],tbl_TransDet_Exp[Department ID],$G$3,tbl_TransDet_Exp[Fund Id],$I$3,tbl_TransDet_Exp[E&amp;G Type],C18,tbl_TransDet_Exp[FY_pd Combo],MAX(tbl_TransDet_Exp[FY_pd Combo]))</f>
        <v>0</v>
      </c>
      <c r="J18"/>
      <c r="K18"/>
    </row>
    <row r="19" spans="1:11" ht="15">
      <c r="A19" s="74"/>
      <c r="B19" s="20" t="s">
        <v>1682</v>
      </c>
      <c r="C19" s="73" t="s">
        <v>1682</v>
      </c>
      <c r="D19" s="62"/>
      <c r="E19" s="23">
        <f>SUMIFS(tbl_ProjEncumbrances[Total Remaining],tbl_ProjEncumbrances[Budgetary Account],B19,tbl_ProjEncumbrances[[ Department]],$G$3,tbl_ProjEncumbrances[[ Fund]],$I$3,tbl_ProjEncumbrances[[ Project]],"")</f>
        <v>0</v>
      </c>
      <c r="F19" s="23">
        <f>SUMIFS(tbl_TransDet_Enc[Amount],tbl_TransDet_Enc[Department Id],$G$3,tbl_TransDet_Enc[Fund Code],$I$3,tbl_TransDet_Enc[E&amp;G Type],C19)</f>
        <v>0</v>
      </c>
      <c r="G19" s="23">
        <f>SUMIFS(tbl_TransDet_Exp[Amount],tbl_TransDet_Exp[Department ID],$G$3,tbl_TransDet_Exp[Fund Id],$I$3,tbl_TransDet_Exp[E&amp;G Type],C19)</f>
        <v>0</v>
      </c>
      <c r="H19" s="63"/>
      <c r="I19" s="83">
        <f>SUMIFS(tbl_TransDet_Exp[Amount],tbl_TransDet_Exp[Department ID],$G$3,tbl_TransDet_Exp[Fund Id],$I$3,tbl_TransDet_Exp[E&amp;G Type],C19,tbl_TransDet_Exp[FY_pd Combo],MAX(tbl_TransDet_Exp[FY_pd Combo]))</f>
        <v>0</v>
      </c>
      <c r="J19"/>
      <c r="K19"/>
    </row>
    <row r="20" spans="1:11" ht="15">
      <c r="A20" s="74"/>
      <c r="B20" s="20" t="s">
        <v>1714</v>
      </c>
      <c r="C20" s="73" t="s">
        <v>1673</v>
      </c>
      <c r="D20" s="62"/>
      <c r="E20" s="23">
        <f>SUMIFS(tbl_ProjEncumbrances[Total Remaining],tbl_ProjEncumbrances[Budgetary Account],B20,tbl_ProjEncumbrances[[ Department]],$G$3,tbl_ProjEncumbrances[[ Fund]],$I$3,tbl_ProjEncumbrances[[ Project]],"")</f>
        <v>0</v>
      </c>
      <c r="F20" s="23">
        <f>SUMIFS(tbl_TransDet_Enc[Amount],tbl_TransDet_Enc[Department Id],$G$3,tbl_TransDet_Enc[Fund Code],$I$3,tbl_TransDet_Enc[E&amp;G Type],C20)</f>
        <v>0</v>
      </c>
      <c r="G20" s="23">
        <f>SUMIFS(tbl_TransDet_Exp[Amount],tbl_TransDet_Exp[Department ID],$G$3,tbl_TransDet_Exp[Fund Id],$I$3,tbl_TransDet_Exp[E&amp;G Type],C20)</f>
        <v>0</v>
      </c>
      <c r="H20" s="63"/>
      <c r="I20" s="83">
        <f>SUMIFS(tbl_TransDet_Exp[Amount],tbl_TransDet_Exp[Department ID],$G$3,tbl_TransDet_Exp[Fund Id],$I$3,tbl_TransDet_Exp[E&amp;G Type],C20,tbl_TransDet_Exp[FY_pd Combo],MAX(tbl_TransDet_Exp[FY_pd Combo]))</f>
        <v>0</v>
      </c>
      <c r="J20"/>
      <c r="K20"/>
    </row>
    <row r="21" spans="1:11" ht="14.5">
      <c r="A21" s="74"/>
      <c r="B21" s="20" t="s">
        <v>1715</v>
      </c>
      <c r="C21" s="73" t="s">
        <v>1672</v>
      </c>
      <c r="D21" s="62"/>
      <c r="E21" s="23">
        <f>SUMIFS(tbl_ProjEncumbrances[Total Remaining],tbl_ProjEncumbrances[Budgetary Account],B21,tbl_ProjEncumbrances[[ Department]],$G$3,tbl_ProjEncumbrances[[ Fund]],$I$3,tbl_ProjEncumbrances[[ Project]],"")</f>
        <v>0</v>
      </c>
      <c r="F21" s="23">
        <f>SUMIFS(tbl_TransDet_Enc[Amount],tbl_TransDet_Enc[Department Id],$G$3,tbl_TransDet_Enc[Fund Code],$I$3,tbl_TransDet_Enc[E&amp;G Type],C21)</f>
        <v>0</v>
      </c>
      <c r="G21" s="23">
        <f>SUMIFS(tbl_TransDet_Exp[Amount],tbl_TransDet_Exp[Department ID],$G$3,tbl_TransDet_Exp[Fund Id],$I$3,tbl_TransDet_Exp[E&amp;G Type],C21)</f>
        <v>0</v>
      </c>
      <c r="H21" s="63"/>
      <c r="I21" s="83">
        <f>SUMIFS(tbl_TransDet_Exp[Amount],tbl_TransDet_Exp[Department ID],$G$3,tbl_TransDet_Exp[Fund Id],$I$3,tbl_TransDet_Exp[E&amp;G Type],C21,tbl_TransDet_Exp[FY_pd Combo],MAX(tbl_TransDet_Exp[FY_pd Combo]))</f>
        <v>0</v>
      </c>
    </row>
    <row r="22" spans="1:11" ht="14.5">
      <c r="A22" s="74"/>
      <c r="B22" s="20" t="s">
        <v>1685</v>
      </c>
      <c r="C22" s="73" t="s">
        <v>1685</v>
      </c>
      <c r="D22" s="62"/>
      <c r="E22" s="23">
        <f>SUMIFS(tbl_ProjEncumbrances[Total Remaining],tbl_ProjEncumbrances[Budgetary Account],B22,tbl_ProjEncumbrances[[ Department]],$G$3,tbl_ProjEncumbrances[[ Fund]],$I$3,tbl_ProjEncumbrances[[ Project]],"")</f>
        <v>0</v>
      </c>
      <c r="F22" s="23">
        <f>SUMIFS(tbl_TransDet_Enc[Amount],tbl_TransDet_Enc[Department Id],$G$3,tbl_TransDet_Enc[Fund Code],$I$3,tbl_TransDet_Enc[E&amp;G Type],C22)</f>
        <v>0</v>
      </c>
      <c r="G22" s="23">
        <f>SUMIFS(tbl_TransDet_Exp[Amount],tbl_TransDet_Exp[Department ID],$G$3,tbl_TransDet_Exp[Fund Id],$I$3,tbl_TransDet_Exp[E&amp;G Type],C22)</f>
        <v>0</v>
      </c>
      <c r="H22" s="63"/>
      <c r="I22" s="83">
        <f>SUMIFS(tbl_TransDet_Exp[Amount],tbl_TransDet_Exp[Department ID],$G$3,tbl_TransDet_Exp[Fund Id],$I$3,tbl_TransDet_Exp[E&amp;G Type],C22,tbl_TransDet_Exp[FY_pd Combo],MAX(tbl_TransDet_Exp[FY_pd Combo]))</f>
        <v>0</v>
      </c>
    </row>
    <row r="23" spans="1:11" ht="14.5">
      <c r="A23" s="74"/>
      <c r="B23" s="20" t="s">
        <v>1716</v>
      </c>
      <c r="C23" s="73" t="s">
        <v>1678</v>
      </c>
      <c r="D23" s="62"/>
      <c r="E23" s="23">
        <f>SUMIFS(tbl_ProjEncumbrances[Total Remaining],tbl_ProjEncumbrances[Budgetary Account],B23,tbl_ProjEncumbrances[[ Department]],$G$3,tbl_ProjEncumbrances[[ Fund]],$I$3,tbl_ProjEncumbrances[[ Project]],"")</f>
        <v>0</v>
      </c>
      <c r="F23" s="23">
        <f>SUMIFS(tbl_TransDet_Enc[Amount],tbl_TransDet_Enc[Department Id],$G$3,tbl_TransDet_Enc[Fund Code],$I$3,tbl_TransDet_Enc[E&amp;G Type],C23)</f>
        <v>0</v>
      </c>
      <c r="G23" s="23">
        <f>SUMIFS(tbl_TransDet_Exp[Amount],tbl_TransDet_Exp[Department ID],$G$3,tbl_TransDet_Exp[Fund Id],$I$3,tbl_TransDet_Exp[E&amp;G Type],C23)</f>
        <v>0</v>
      </c>
      <c r="H23" s="63"/>
      <c r="I23" s="83">
        <f>SUMIFS(tbl_TransDet_Exp[Amount],tbl_TransDet_Exp[Department ID],$G$3,tbl_TransDet_Exp[Fund Id],$I$3,tbl_TransDet_Exp[E&amp;G Type],C23,tbl_TransDet_Exp[FY_pd Combo],MAX(tbl_TransDet_Exp[FY_pd Combo]))</f>
        <v>0</v>
      </c>
    </row>
    <row r="24" spans="1:11" ht="14.5">
      <c r="A24" s="74"/>
      <c r="B24" s="20" t="s">
        <v>1717</v>
      </c>
      <c r="C24" s="73" t="s">
        <v>1680</v>
      </c>
      <c r="D24" s="62"/>
      <c r="E24" s="23">
        <f>SUMIFS(tbl_ProjEncumbrances[Total Remaining],tbl_ProjEncumbrances[Budgetary Account],B24,tbl_ProjEncumbrances[[ Department]],$G$3,tbl_ProjEncumbrances[[ Fund]],$I$3,tbl_ProjEncumbrances[[ Project]],"")</f>
        <v>0</v>
      </c>
      <c r="F24" s="23">
        <f>SUMIFS(tbl_TransDet_Enc[Amount],tbl_TransDet_Enc[Department Id],$G$3,tbl_TransDet_Enc[Fund Code],$I$3,tbl_TransDet_Enc[E&amp;G Type],C24)</f>
        <v>0</v>
      </c>
      <c r="G24" s="23">
        <f>SUMIFS(tbl_TransDet_Exp[Amount],tbl_TransDet_Exp[Department ID],$G$3,tbl_TransDet_Exp[Fund Id],$I$3,tbl_TransDet_Exp[E&amp;G Type],C24)</f>
        <v>0</v>
      </c>
      <c r="H24" s="63"/>
      <c r="I24" s="83">
        <f>SUMIFS(tbl_TransDet_Exp[Amount],tbl_TransDet_Exp[Department ID],$G$3,tbl_TransDet_Exp[Fund Id],$I$3,tbl_TransDet_Exp[E&amp;G Type],C24,tbl_TransDet_Exp[FY_pd Combo],MAX(tbl_TransDet_Exp[FY_pd Combo]))</f>
        <v>0</v>
      </c>
    </row>
    <row r="25" spans="1:11" ht="14.5">
      <c r="A25" s="74"/>
      <c r="B25" s="20" t="s">
        <v>1675</v>
      </c>
      <c r="C25" s="73" t="s">
        <v>1675</v>
      </c>
      <c r="D25" s="62"/>
      <c r="E25" s="23">
        <f>SUMIFS(tbl_ProjEncumbrances[Total Remaining],tbl_ProjEncumbrances[Budgetary Account],B25,tbl_ProjEncumbrances[[ Department]],$G$3,tbl_ProjEncumbrances[[ Fund]],$I$3,tbl_ProjEncumbrances[[ Project]],"")</f>
        <v>0</v>
      </c>
      <c r="F25" s="23">
        <f>SUMIFS(tbl_TransDet_Enc[Amount],tbl_TransDet_Enc[Department Id],$G$3,tbl_TransDet_Enc[Fund Code],$I$3,tbl_TransDet_Enc[E&amp;G Type],C25)</f>
        <v>0</v>
      </c>
      <c r="G25" s="23">
        <f>SUMIFS(tbl_TransDet_Exp[Amount],tbl_TransDet_Exp[Department ID],$G$3,tbl_TransDet_Exp[Fund Id],$I$3,tbl_TransDet_Exp[E&amp;G Type],C25)</f>
        <v>0</v>
      </c>
      <c r="H25" s="63"/>
      <c r="I25" s="83">
        <f>SUMIFS(tbl_TransDet_Exp[Amount],tbl_TransDet_Exp[Department ID],$G$3,tbl_TransDet_Exp[Fund Id],$I$3,tbl_TransDet_Exp[E&amp;G Type],C25,tbl_TransDet_Exp[FY_pd Combo],MAX(tbl_TransDet_Exp[FY_pd Combo]))</f>
        <v>0</v>
      </c>
    </row>
    <row r="26" spans="1:11" ht="14.5">
      <c r="A26" s="74"/>
      <c r="B26" s="20" t="s">
        <v>1384</v>
      </c>
      <c r="C26" s="73" t="s">
        <v>1384</v>
      </c>
      <c r="D26" s="62"/>
      <c r="E26" s="23">
        <f>SUMIFS(tbl_ProjEncumbrances[Total Remaining],tbl_ProjEncumbrances[Budgetary Account],B26,tbl_ProjEncumbrances[[ Department]],$G$3,tbl_ProjEncumbrances[[ Fund]],$I$3,tbl_ProjEncumbrances[[ Project]],"")</f>
        <v>0</v>
      </c>
      <c r="F26" s="23">
        <f>SUMIFS(tbl_TransDet_Enc[Amount],tbl_TransDet_Enc[Department Id],$G$3,tbl_TransDet_Enc[Fund Code],$I$3,tbl_TransDet_Enc[E&amp;G Type],C26)</f>
        <v>0</v>
      </c>
      <c r="G26" s="23">
        <f>SUMIFS(tbl_TransDet_Exp[Amount],tbl_TransDet_Exp[Department ID],$G$3,tbl_TransDet_Exp[Fund Id],$I$3,tbl_TransDet_Exp[E&amp;G Type],C26)</f>
        <v>0</v>
      </c>
      <c r="H26" s="63"/>
      <c r="I26" s="83">
        <f>SUMIFS(tbl_TransDet_Exp[Amount],tbl_TransDet_Exp[Department ID],$G$3,tbl_TransDet_Exp[Fund Id],$I$3,tbl_TransDet_Exp[E&amp;G Type],C26,tbl_TransDet_Exp[FY_pd Combo],MAX(tbl_TransDet_Exp[FY_pd Combo]))</f>
        <v>0</v>
      </c>
    </row>
    <row r="27" spans="1:11" ht="14.5">
      <c r="A27" s="74"/>
      <c r="B27" s="20" t="s">
        <v>1677</v>
      </c>
      <c r="C27" s="73" t="s">
        <v>1677</v>
      </c>
      <c r="D27" s="62"/>
      <c r="E27" s="23">
        <f>SUMIFS(tbl_ProjEncumbrances[Total Remaining],tbl_ProjEncumbrances[Budgetary Account],B27,tbl_ProjEncumbrances[[ Department]],$G$3,tbl_ProjEncumbrances[[ Fund]],$I$3,tbl_ProjEncumbrances[[ Project]],"")</f>
        <v>0</v>
      </c>
      <c r="F27" s="23">
        <f>SUMIFS(tbl_TransDet_Enc[Amount],tbl_TransDet_Enc[Department Id],$G$3,tbl_TransDet_Enc[Fund Code],$I$3,tbl_TransDet_Enc[E&amp;G Type],C27)</f>
        <v>0</v>
      </c>
      <c r="G27" s="23">
        <f>SUMIFS(tbl_TransDet_Exp[Amount],tbl_TransDet_Exp[Department ID],$G$3,tbl_TransDet_Exp[Fund Id],$I$3,tbl_TransDet_Exp[E&amp;G Type],C27)</f>
        <v>0</v>
      </c>
      <c r="H27" s="63"/>
      <c r="I27" s="83">
        <f>SUMIFS(tbl_TransDet_Exp[Amount],tbl_TransDet_Exp[Department ID],$G$3,tbl_TransDet_Exp[Fund Id],$I$3,tbl_TransDet_Exp[E&amp;G Type],C27,tbl_TransDet_Exp[FY_pd Combo],MAX(tbl_TransDet_Exp[FY_pd Combo]))</f>
        <v>0</v>
      </c>
    </row>
    <row r="28" spans="1:11" ht="14.5">
      <c r="A28" s="75" t="s">
        <v>1669</v>
      </c>
      <c r="B28" s="52"/>
      <c r="C28" s="76"/>
      <c r="D28" s="57">
        <f>SUMIFS(Table13[Budget Amount],Table13[Budgetary Account],"76*",Table13[Department ID],G3,Table13[Fund Id],I3)</f>
        <v>0</v>
      </c>
      <c r="E28" s="46">
        <f>SUMIFS(tbl_ProjEncumbrances[Total Remaining],tbl_ProjEncumbrances[Budgetary Account],A28,tbl_ProjEncumbrances[[ Department]],$G$3,tbl_ProjEncumbrances[[ Fund]],$I$3,tbl_ProjEncumbrances[[ Project]],"")</f>
        <v>0</v>
      </c>
      <c r="F28" s="46">
        <f>SUMIFS(tbl_TransDet_Enc[Amount],tbl_TransDet_Enc[Budgetary Account],"76*",tbl_TransDet_Enc[Department Id],G3,tbl_TransDet_Enc[Fund Code],I3)</f>
        <v>0</v>
      </c>
      <c r="G28" s="46">
        <f>SUMIFS(tbl_TransDet_Exp[Amount],tbl_TransDet_Exp[Budgetary Account],"76*",tbl_TransDet_Exp[Department ID],G3,tbl_TransDet_Exp[Fund Id],I3)</f>
        <v>0</v>
      </c>
      <c r="H28" s="58">
        <f t="shared" si="1"/>
        <v>0</v>
      </c>
      <c r="I28" s="67">
        <f>SUMIFS(tbl_TransDet_Exp[Amount],tbl_TransDet_Exp[Budgetary Account],"76*",tbl_TransDet_Exp[Department ID],A3,tbl_TransDet_Exp[Fund Id],I3,tbl_TransDet_Exp[FY_pd Combo],MAX(tbl_TransDet_Exp[FY_pd Combo]))</f>
        <v>0</v>
      </c>
    </row>
    <row r="29" spans="1:11" ht="15" thickBot="1">
      <c r="A29" s="75" t="s">
        <v>1670</v>
      </c>
      <c r="B29" s="52"/>
      <c r="C29" s="76"/>
      <c r="D29" s="57">
        <f>SUMIFS(Table13[Budget Amount],Table13[Budgetary Account],"78*",Table13[Department ID],G3,Table13[Fund Id],I3)</f>
        <v>0</v>
      </c>
      <c r="E29" s="46">
        <f>SUMIFS(tbl_ProjEncumbrances[Total Remaining],tbl_ProjEncumbrances[Budgetary Account],A29,tbl_ProjEncumbrances[[ Department]],$G$3,tbl_ProjEncumbrances[[ Fund]],$I$3,tbl_ProjEncumbrances[[ Project]],"")</f>
        <v>0</v>
      </c>
      <c r="F29" s="46">
        <f>SUMIFS(tbl_TransDet_Enc[Amount],tbl_TransDet_Enc[Budgetary Account],"78*",tbl_TransDet_Enc[Department Id],G3,tbl_TransDet_Enc[Fund Code],I3)</f>
        <v>0</v>
      </c>
      <c r="G29" s="46">
        <f>SUMIFS(tbl_TransDet_Exp[Amount],tbl_TransDet_Exp[Budgetary Account],"78*",tbl_TransDet_Exp[Department ID],G3,tbl_TransDet_Exp[Fund Id],I3)</f>
        <v>0</v>
      </c>
      <c r="H29" s="58">
        <f t="shared" si="1"/>
        <v>0</v>
      </c>
      <c r="I29" s="67">
        <f>SUMIFS(tbl_TransDet_Exp[Amount],tbl_TransDet_Exp[Budgetary Account],"78*",tbl_TransDet_Exp[Department ID],G3,tbl_TransDet_Exp[Fund Id],I3,tbl_TransDet_Exp[FY_pd Combo],MAX(tbl_TransDet_Exp[FY_pd Combo]))</f>
        <v>0</v>
      </c>
    </row>
    <row r="30" spans="1:11" ht="15" thickTop="1">
      <c r="A30" s="77" t="s">
        <v>1269</v>
      </c>
      <c r="B30" s="78"/>
      <c r="C30" s="79"/>
      <c r="D30" s="64">
        <f>D6+D10+D11+D28+D29</f>
        <v>0</v>
      </c>
      <c r="E30" s="65">
        <f>E6+E10+E11+E28+E29</f>
        <v>0</v>
      </c>
      <c r="F30" s="65">
        <f t="shared" ref="F30:H30" si="2">F6+F10+F11+F28+F29</f>
        <v>0</v>
      </c>
      <c r="G30" s="65">
        <f t="shared" si="2"/>
        <v>0</v>
      </c>
      <c r="H30" s="66">
        <f t="shared" si="2"/>
        <v>0</v>
      </c>
      <c r="I30" s="69">
        <f t="shared" ref="I30" si="3">I6+I10+I11+I28+I29</f>
        <v>0</v>
      </c>
    </row>
    <row r="31" spans="1:11" ht="14.5">
      <c r="A31" s="54"/>
      <c r="B31" s="54"/>
      <c r="C31" s="26"/>
      <c r="D31" s="21"/>
      <c r="E31" s="21"/>
      <c r="F31" s="21"/>
      <c r="G31" s="21"/>
      <c r="H31" s="21"/>
      <c r="I31" s="21"/>
    </row>
    <row r="32" spans="1:11">
      <c r="A32" s="35"/>
      <c r="B32" s="35"/>
      <c r="C32" s="35"/>
      <c r="D32" s="25"/>
      <c r="E32" s="36"/>
      <c r="F32" s="36"/>
      <c r="G32" s="36"/>
      <c r="H32" s="36"/>
      <c r="I32" s="36"/>
    </row>
    <row r="33" spans="1:9">
      <c r="A33" s="35"/>
      <c r="B33" s="35"/>
      <c r="C33" s="35"/>
      <c r="D33" s="25"/>
      <c r="E33" s="36"/>
      <c r="F33" s="36"/>
      <c r="G33" s="36"/>
      <c r="H33" s="36"/>
      <c r="I33" s="36"/>
    </row>
    <row r="34" spans="1:9">
      <c r="A34" s="35"/>
      <c r="B34" s="37"/>
      <c r="C34" s="37"/>
      <c r="D34" s="35"/>
      <c r="E34" s="37"/>
      <c r="F34" s="38"/>
      <c r="G34" s="36"/>
      <c r="H34" s="36"/>
      <c r="I34" s="36"/>
    </row>
    <row r="35" spans="1:9" ht="14.5">
      <c r="A35" s="35"/>
      <c r="B35" s="39" t="s">
        <v>1695</v>
      </c>
      <c r="D35" s="40"/>
      <c r="E35" s="39" t="s">
        <v>1696</v>
      </c>
      <c r="F35" s="36"/>
      <c r="G35" s="36"/>
      <c r="H35" s="36"/>
      <c r="I35" s="36"/>
    </row>
    <row r="36" spans="1:9">
      <c r="A36" s="35"/>
      <c r="B36" s="35"/>
      <c r="C36" s="35"/>
      <c r="D36" s="25"/>
      <c r="E36" s="36"/>
      <c r="F36" s="36"/>
      <c r="G36" s="36"/>
      <c r="H36" s="36"/>
      <c r="I36" s="36"/>
    </row>
    <row r="37" spans="1:9">
      <c r="A37" s="35"/>
      <c r="B37" s="35"/>
      <c r="C37" s="35"/>
      <c r="D37" s="36"/>
      <c r="E37" s="36"/>
      <c r="F37" s="36"/>
      <c r="G37" s="36"/>
      <c r="H37" s="36"/>
      <c r="I37" s="36"/>
    </row>
    <row r="38" spans="1:9">
      <c r="A38" s="35"/>
      <c r="B38" s="35"/>
      <c r="C38" s="35"/>
      <c r="D38" s="36"/>
      <c r="E38" s="36"/>
      <c r="F38" s="36"/>
      <c r="G38" s="36"/>
      <c r="H38" s="36"/>
      <c r="I38" s="36"/>
    </row>
    <row r="39" spans="1:9" ht="15.5">
      <c r="A39" s="35"/>
      <c r="B39" s="35"/>
      <c r="C39" s="39"/>
      <c r="D39" s="36"/>
      <c r="E39" s="41"/>
      <c r="F39" s="42"/>
      <c r="G39" s="41" t="str">
        <f ca="1">CONCATENATE("Completed ",TEXT(T1, "MM/DD/YYYY"))</f>
        <v>Completed 08/27/2024</v>
      </c>
      <c r="H39" s="36"/>
      <c r="I39" s="36"/>
    </row>
    <row r="40" spans="1:9" ht="15">
      <c r="A40" s="35"/>
      <c r="B40" s="35"/>
      <c r="C40" s="39"/>
      <c r="D40" s="36"/>
      <c r="E40" s="42"/>
      <c r="F40" s="42"/>
      <c r="G40" s="42"/>
      <c r="H40" s="36"/>
      <c r="I40" s="36"/>
    </row>
    <row r="41" spans="1:9" ht="15.75" customHeight="1">
      <c r="A41" s="35"/>
      <c r="B41" s="258" t="s">
        <v>1230</v>
      </c>
      <c r="C41" s="259"/>
      <c r="D41" s="259"/>
      <c r="E41" s="259"/>
      <c r="F41" s="259"/>
      <c r="G41" s="260"/>
      <c r="H41" s="36"/>
      <c r="I41" s="36"/>
    </row>
    <row r="42" spans="1:9" ht="15" customHeight="1">
      <c r="A42" s="35"/>
      <c r="B42" s="261"/>
      <c r="C42" s="262"/>
      <c r="D42" s="262"/>
      <c r="E42" s="262"/>
      <c r="F42" s="262"/>
      <c r="G42" s="263"/>
      <c r="H42" s="36"/>
      <c r="I42" s="36"/>
    </row>
    <row r="43" spans="1:9" ht="15" customHeight="1">
      <c r="A43" s="35"/>
      <c r="B43" s="261"/>
      <c r="C43" s="262"/>
      <c r="D43" s="262"/>
      <c r="E43" s="262"/>
      <c r="F43" s="262"/>
      <c r="G43" s="263"/>
      <c r="H43" s="36"/>
      <c r="I43" s="36"/>
    </row>
    <row r="44" spans="1:9" ht="15" customHeight="1">
      <c r="A44" s="35"/>
      <c r="B44" s="264"/>
      <c r="C44" s="265"/>
      <c r="D44" s="265"/>
      <c r="E44" s="265"/>
      <c r="F44" s="265"/>
      <c r="G44" s="266"/>
      <c r="H44" s="36"/>
      <c r="I44" s="36"/>
    </row>
    <row r="45" spans="1:9" ht="14.5">
      <c r="A45" s="35"/>
      <c r="B45" s="35"/>
      <c r="C45" s="35"/>
      <c r="D45" s="36"/>
      <c r="E45" s="36"/>
      <c r="F45" s="36"/>
      <c r="G45" s="248"/>
      <c r="H45" s="248"/>
      <c r="I45" s="36"/>
    </row>
  </sheetData>
  <sheetProtection selectLockedCells="1"/>
  <mergeCells count="10">
    <mergeCell ref="K4:M4"/>
    <mergeCell ref="B41:G44"/>
    <mergeCell ref="D4:H4"/>
    <mergeCell ref="A1:I1"/>
    <mergeCell ref="A2:I2"/>
    <mergeCell ref="G45:H45"/>
    <mergeCell ref="A11:C11"/>
    <mergeCell ref="A5:C5"/>
    <mergeCell ref="A6:C6"/>
    <mergeCell ref="A10:C10"/>
  </mergeCells>
  <printOptions horizontalCentered="1"/>
  <pageMargins left="0.7" right="0.7" top="0.75" bottom="0.75" header="0.3" footer="0.3"/>
  <pageSetup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">
    <tabColor rgb="FF782F40"/>
  </sheetPr>
  <dimension ref="A1:I5"/>
  <sheetViews>
    <sheetView workbookViewId="0">
      <selection sqref="A1:C1"/>
    </sheetView>
  </sheetViews>
  <sheetFormatPr defaultColWidth="9.1796875" defaultRowHeight="14.5"/>
  <cols>
    <col min="1" max="1" width="9.453125" style="241" customWidth="1"/>
    <col min="2" max="2" width="18.26953125" style="182" customWidth="1"/>
    <col min="3" max="3" width="17.7265625" style="182" customWidth="1"/>
    <col min="4" max="4" width="12.81640625" style="111" customWidth="1"/>
    <col min="5" max="5" width="31.1796875" style="111" bestFit="1" customWidth="1"/>
    <col min="6" max="6" width="14.7265625" style="111" customWidth="1"/>
    <col min="7" max="7" width="19.1796875" style="111" hidden="1" customWidth="1"/>
    <col min="8" max="8" width="22.453125" style="111" hidden="1" customWidth="1"/>
    <col min="9" max="9" width="18.26953125" style="111" hidden="1" customWidth="1"/>
    <col min="10" max="16384" width="9.1796875" style="111"/>
  </cols>
  <sheetData>
    <row r="1" spans="1:9">
      <c r="A1" s="305" t="s">
        <v>1374</v>
      </c>
      <c r="B1" s="306"/>
      <c r="C1" s="306"/>
    </row>
    <row r="2" spans="1:9">
      <c r="A2" s="185" t="s">
        <v>1221</v>
      </c>
      <c r="B2" s="182" t="s">
        <v>7</v>
      </c>
      <c r="C2" s="182" t="s">
        <v>8</v>
      </c>
      <c r="D2" s="111" t="s">
        <v>1375</v>
      </c>
      <c r="E2" s="111" t="s">
        <v>1376</v>
      </c>
      <c r="F2" s="111" t="s">
        <v>1377</v>
      </c>
      <c r="G2" s="111" t="s">
        <v>1433</v>
      </c>
      <c r="H2" s="111" t="s">
        <v>1244</v>
      </c>
      <c r="I2" s="111" t="s">
        <v>1429</v>
      </c>
    </row>
    <row r="3" spans="1:9">
      <c r="A3"/>
      <c r="B3"/>
      <c r="C3"/>
      <c r="D3"/>
      <c r="E3"/>
      <c r="F3" s="242"/>
      <c r="G3" s="240" t="str">
        <f>TEXT(tbl_proj_bud[[#This Row],[Project]],"000000")</f>
        <v>000000</v>
      </c>
      <c r="H3" s="240" t="e">
        <f>IF(tbl_proj_bud[[#This Row],[Custom Budget Category]]="",INDEX(Table4[Lookup],MATCH(tbl_proj_bud[[#This Row],[Res Category]],Table4[Descr. ],0)),tbl_proj_bud[[#This Row],[Custom Budget Category]])</f>
        <v>#N/A</v>
      </c>
      <c r="I3" s="240"/>
    </row>
    <row r="4" spans="1:9">
      <c r="A4"/>
      <c r="B4"/>
      <c r="C4"/>
      <c r="D4"/>
      <c r="E4"/>
      <c r="F4" s="242"/>
      <c r="G4" s="240" t="str">
        <f>TEXT(tbl_proj_bud[[#This Row],[Project]],"000000")</f>
        <v>000000</v>
      </c>
      <c r="H4" s="240" t="e">
        <f>IF(tbl_proj_bud[[#This Row],[Custom Budget Category]]="",INDEX(Table4[Lookup],MATCH(tbl_proj_bud[[#This Row],[Res Category]],Table4[Descr. ],0)),tbl_proj_bud[[#This Row],[Custom Budget Category]])</f>
        <v>#N/A</v>
      </c>
      <c r="I4" s="240"/>
    </row>
    <row r="5" spans="1:9">
      <c r="A5"/>
      <c r="B5"/>
      <c r="C5"/>
      <c r="D5"/>
      <c r="E5"/>
      <c r="F5" s="242"/>
      <c r="G5" s="240" t="str">
        <f>TEXT(tbl_proj_bud[[#This Row],[Project]],"000000")</f>
        <v>000000</v>
      </c>
      <c r="H5" s="240" t="e">
        <f>IF(tbl_proj_bud[[#This Row],[Custom Budget Category]]="",INDEX(Table4[Lookup],MATCH(tbl_proj_bud[[#This Row],[Res Category]],Table4[Descr. ],0)),tbl_proj_bud[[#This Row],[Custom Budget Category]])</f>
        <v>#N/A</v>
      </c>
      <c r="I5" s="240"/>
    </row>
  </sheetData>
  <mergeCells count="1">
    <mergeCell ref="A1:C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862633"/>
  </sheetPr>
  <dimension ref="A1:I39"/>
  <sheetViews>
    <sheetView workbookViewId="0">
      <selection activeCell="B12" sqref="B12"/>
    </sheetView>
  </sheetViews>
  <sheetFormatPr defaultRowHeight="14.5"/>
  <cols>
    <col min="1" max="1" width="32.7265625" customWidth="1"/>
    <col min="2" max="2" width="20" bestFit="1" customWidth="1"/>
    <col min="7" max="7" width="24.453125" bestFit="1" customWidth="1"/>
    <col min="8" max="8" width="29.7265625" bestFit="1" customWidth="1"/>
    <col min="9" max="9" width="44.453125" bestFit="1" customWidth="1"/>
  </cols>
  <sheetData>
    <row r="1" spans="1:9">
      <c r="A1" s="307" t="s">
        <v>1722</v>
      </c>
      <c r="B1" s="307"/>
      <c r="G1" s="307" t="s">
        <v>1723</v>
      </c>
      <c r="H1" s="307"/>
      <c r="I1" s="307"/>
    </row>
    <row r="2" spans="1:9">
      <c r="A2" t="s">
        <v>1394</v>
      </c>
      <c r="B2" t="s">
        <v>1395</v>
      </c>
      <c r="G2" t="s">
        <v>1724</v>
      </c>
      <c r="H2" t="s">
        <v>9</v>
      </c>
      <c r="I2" t="s">
        <v>1395</v>
      </c>
    </row>
    <row r="3" spans="1:9">
      <c r="A3" t="s">
        <v>1879</v>
      </c>
      <c r="B3" t="s">
        <v>1842</v>
      </c>
      <c r="G3" t="s">
        <v>1725</v>
      </c>
      <c r="H3" t="s">
        <v>1666</v>
      </c>
      <c r="I3" t="str">
        <f>CONCATENATE(Table16[[#This Row],[Source of Funds]]," - ",Table16[[#This Row],[Account]])</f>
        <v>E&amp;G - Faculty</v>
      </c>
    </row>
    <row r="4" spans="1:9">
      <c r="A4" t="s">
        <v>1382</v>
      </c>
      <c r="B4" t="s">
        <v>1842</v>
      </c>
      <c r="G4" t="s">
        <v>1725</v>
      </c>
      <c r="H4" t="s">
        <v>1667</v>
      </c>
      <c r="I4" t="str">
        <f>CONCATENATE(Table16[[#This Row],[Source of Funds]]," - ",Table16[[#This Row],[Account]])</f>
        <v>E&amp;G - A&amp;P</v>
      </c>
    </row>
    <row r="5" spans="1:9">
      <c r="A5" t="s">
        <v>1340</v>
      </c>
      <c r="B5" t="s">
        <v>1340</v>
      </c>
      <c r="G5" t="s">
        <v>1725</v>
      </c>
      <c r="H5" t="s">
        <v>1668</v>
      </c>
      <c r="I5" t="str">
        <f>CONCATENATE(Table16[[#This Row],[Source of Funds]]," - ",Table16[[#This Row],[Account]])</f>
        <v>E&amp;G - USPS</v>
      </c>
    </row>
    <row r="6" spans="1:9">
      <c r="A6" t="s">
        <v>1379</v>
      </c>
      <c r="B6" t="s">
        <v>1889</v>
      </c>
      <c r="G6" t="s">
        <v>1725</v>
      </c>
      <c r="H6" t="s">
        <v>1388</v>
      </c>
      <c r="I6" t="str">
        <f>CONCATENATE(Table16[[#This Row],[Source of Funds]]," - ",Table16[[#This Row],[Account]])</f>
        <v>E&amp;G - OPS</v>
      </c>
    </row>
    <row r="7" spans="1:9">
      <c r="A7" t="s">
        <v>1349</v>
      </c>
      <c r="B7" t="s">
        <v>1355</v>
      </c>
      <c r="G7" t="s">
        <v>1725</v>
      </c>
      <c r="H7" t="s">
        <v>1674</v>
      </c>
      <c r="I7" t="str">
        <f>CONCATENATE(Table16[[#This Row],[Source of Funds]]," - ",Table16[[#This Row],[Account]])</f>
        <v>E&amp;G - Consumable Supplies</v>
      </c>
    </row>
    <row r="8" spans="1:9">
      <c r="A8" t="s">
        <v>1880</v>
      </c>
      <c r="B8" t="s">
        <v>1890</v>
      </c>
      <c r="G8" t="s">
        <v>1725</v>
      </c>
      <c r="H8" t="s">
        <v>1711</v>
      </c>
      <c r="I8" t="str">
        <f>CONCATENATE(Table16[[#This Row],[Source of Funds]]," - ",Table16[[#This Row],[Account]])</f>
        <v>E&amp;G - Equipment &amp; Other Supplies</v>
      </c>
    </row>
    <row r="9" spans="1:9">
      <c r="A9" t="s">
        <v>1881</v>
      </c>
      <c r="B9" t="s">
        <v>1890</v>
      </c>
      <c r="G9" t="s">
        <v>1725</v>
      </c>
      <c r="H9" t="s">
        <v>1684</v>
      </c>
      <c r="I9" t="str">
        <f>CONCATENATE(Table16[[#This Row],[Source of Funds]]," - ",Table16[[#This Row],[Account]])</f>
        <v>E&amp;G - Financial Aid</v>
      </c>
    </row>
    <row r="10" spans="1:9">
      <c r="A10" t="s">
        <v>1386</v>
      </c>
      <c r="B10" t="s">
        <v>1890</v>
      </c>
      <c r="G10" t="s">
        <v>1725</v>
      </c>
      <c r="H10" t="s">
        <v>1683</v>
      </c>
      <c r="I10" t="str">
        <f>CONCATENATE(Table16[[#This Row],[Source of Funds]]," - ",Table16[[#This Row],[Account]])</f>
        <v>E&amp;G - Insurance</v>
      </c>
    </row>
    <row r="11" spans="1:9">
      <c r="A11" t="s">
        <v>1383</v>
      </c>
      <c r="B11" t="s">
        <v>1890</v>
      </c>
      <c r="G11" t="s">
        <v>1725</v>
      </c>
      <c r="H11" t="s">
        <v>1712</v>
      </c>
      <c r="I11" t="str">
        <f>CONCATENATE(Table16[[#This Row],[Source of Funds]]," - ",Table16[[#This Row],[Account]])</f>
        <v>E&amp;G - IT Maintenance &amp; Software</v>
      </c>
    </row>
    <row r="12" spans="1:9">
      <c r="A12" t="s">
        <v>1378</v>
      </c>
      <c r="B12" t="s">
        <v>1843</v>
      </c>
      <c r="G12" t="s">
        <v>1725</v>
      </c>
      <c r="H12" t="s">
        <v>1676</v>
      </c>
      <c r="I12" t="str">
        <f>CONCATENATE(Table16[[#This Row],[Source of Funds]]," - ",Table16[[#This Row],[Account]])</f>
        <v>E&amp;G - Network/Telecom</v>
      </c>
    </row>
    <row r="13" spans="1:9">
      <c r="A13" t="s">
        <v>1380</v>
      </c>
      <c r="B13" t="s">
        <v>1843</v>
      </c>
      <c r="G13" t="s">
        <v>1725</v>
      </c>
      <c r="H13" t="s">
        <v>1713</v>
      </c>
      <c r="I13" t="str">
        <f>CONCATENATE(Table16[[#This Row],[Source of Funds]]," - ",Table16[[#This Row],[Account]])</f>
        <v>E&amp;G - Other Expenses</v>
      </c>
    </row>
    <row r="14" spans="1:9">
      <c r="A14" t="s">
        <v>1882</v>
      </c>
      <c r="B14" t="s">
        <v>1356</v>
      </c>
      <c r="G14" t="s">
        <v>1725</v>
      </c>
      <c r="H14" t="s">
        <v>1682</v>
      </c>
      <c r="I14" t="str">
        <f>CONCATENATE(Table16[[#This Row],[Source of Funds]]," - ",Table16[[#This Row],[Account]])</f>
        <v>E&amp;G - Postal/Freight</v>
      </c>
    </row>
    <row r="15" spans="1:9">
      <c r="A15" t="s">
        <v>1385</v>
      </c>
      <c r="B15" t="s">
        <v>1356</v>
      </c>
      <c r="G15" t="s">
        <v>1725</v>
      </c>
      <c r="H15" t="s">
        <v>1714</v>
      </c>
      <c r="I15" t="str">
        <f>CONCATENATE(Table16[[#This Row],[Source of Funds]]," - ",Table16[[#This Row],[Account]])</f>
        <v>E&amp;G - Printing/Reproduction</v>
      </c>
    </row>
    <row r="16" spans="1:9">
      <c r="A16" t="s">
        <v>1388</v>
      </c>
      <c r="B16" t="s">
        <v>1356</v>
      </c>
      <c r="G16" t="s">
        <v>1725</v>
      </c>
      <c r="H16" t="s">
        <v>1715</v>
      </c>
      <c r="I16" t="str">
        <f>CONCATENATE(Table16[[#This Row],[Source of Funds]]," - ",Table16[[#This Row],[Account]])</f>
        <v>E&amp;G - Professional and Other Services</v>
      </c>
    </row>
    <row r="17" spans="1:9">
      <c r="A17" t="s">
        <v>82</v>
      </c>
      <c r="B17" t="s">
        <v>1356</v>
      </c>
      <c r="G17" t="s">
        <v>1725</v>
      </c>
      <c r="H17" t="s">
        <v>1685</v>
      </c>
      <c r="I17" t="str">
        <f>CONCATENATE(Table16[[#This Row],[Source of Funds]]," - ",Table16[[#This Row],[Account]])</f>
        <v>E&amp;G - Rentals</v>
      </c>
    </row>
    <row r="18" spans="1:9">
      <c r="A18" t="s">
        <v>1389</v>
      </c>
      <c r="B18" t="s">
        <v>1356</v>
      </c>
      <c r="G18" t="s">
        <v>1725</v>
      </c>
      <c r="H18" t="s">
        <v>1716</v>
      </c>
      <c r="I18" t="str">
        <f>CONCATENATE(Table16[[#This Row],[Source of Funds]]," - ",Table16[[#This Row],[Account]])</f>
        <v>E&amp;G - Repairs and Maintenance</v>
      </c>
    </row>
    <row r="19" spans="1:9">
      <c r="A19" t="s">
        <v>1390</v>
      </c>
      <c r="B19" t="s">
        <v>1393</v>
      </c>
      <c r="G19" t="s">
        <v>1725</v>
      </c>
      <c r="H19" t="s">
        <v>1717</v>
      </c>
      <c r="I19" t="str">
        <f>CONCATENATE(Table16[[#This Row],[Source of Funds]]," - ",Table16[[#This Row],[Account]])</f>
        <v>E&amp;G - Resale of Goods and Services</v>
      </c>
    </row>
    <row r="20" spans="1:9">
      <c r="A20" t="s">
        <v>1391</v>
      </c>
      <c r="B20" t="s">
        <v>1393</v>
      </c>
      <c r="G20" t="s">
        <v>1725</v>
      </c>
      <c r="H20" t="s">
        <v>1675</v>
      </c>
      <c r="I20" t="str">
        <f>CONCATENATE(Table16[[#This Row],[Source of Funds]]," - ",Table16[[#This Row],[Account]])</f>
        <v>E&amp;G - Subrecipient</v>
      </c>
    </row>
    <row r="21" spans="1:9">
      <c r="A21" t="s">
        <v>1883</v>
      </c>
      <c r="B21" t="s">
        <v>1393</v>
      </c>
      <c r="G21" t="s">
        <v>1725</v>
      </c>
      <c r="H21" t="s">
        <v>1384</v>
      </c>
      <c r="I21" t="str">
        <f>CONCATENATE(Table16[[#This Row],[Source of Funds]]," - ",Table16[[#This Row],[Account]])</f>
        <v>E&amp;G - Travel</v>
      </c>
    </row>
    <row r="22" spans="1:9">
      <c r="A22" t="s">
        <v>1392</v>
      </c>
      <c r="B22" t="s">
        <v>1393</v>
      </c>
      <c r="G22" t="s">
        <v>1725</v>
      </c>
      <c r="H22" t="s">
        <v>1677</v>
      </c>
      <c r="I22" t="str">
        <f>CONCATENATE(Table16[[#This Row],[Source of Funds]]," - ",Table16[[#This Row],[Account]])</f>
        <v>E&amp;G - Utilities</v>
      </c>
    </row>
    <row r="23" spans="1:9">
      <c r="A23" t="s">
        <v>1358</v>
      </c>
      <c r="B23" t="s">
        <v>1393</v>
      </c>
      <c r="G23" t="s">
        <v>1725</v>
      </c>
      <c r="H23" t="s">
        <v>1669</v>
      </c>
      <c r="I23" t="str">
        <f>CONCATENATE(Table16[[#This Row],[Source of Funds]]," - ",Table16[[#This Row],[Account]])</f>
        <v>E&amp;G - Other Capital Outlay</v>
      </c>
    </row>
    <row r="24" spans="1:9">
      <c r="A24" t="s">
        <v>1884</v>
      </c>
      <c r="B24" t="s">
        <v>1393</v>
      </c>
      <c r="G24" t="s">
        <v>1725</v>
      </c>
      <c r="H24" t="s">
        <v>1670</v>
      </c>
      <c r="I24" t="str">
        <f>CONCATENATE(Table16[[#This Row],[Source of Funds]]," - ",Table16[[#This Row],[Account]])</f>
        <v>E&amp;G - Transfers</v>
      </c>
    </row>
    <row r="25" spans="1:9">
      <c r="A25" t="s">
        <v>1885</v>
      </c>
      <c r="B25" t="s">
        <v>1393</v>
      </c>
      <c r="G25" t="s">
        <v>1726</v>
      </c>
      <c r="H25" t="s">
        <v>1398</v>
      </c>
      <c r="I25" t="str">
        <f>CONCATENATE(Table16[[#This Row],[Source of Funds]]," - ",Table16[[#This Row],[Account]])</f>
        <v>C&amp;G - Key Personnel</v>
      </c>
    </row>
    <row r="26" spans="1:9">
      <c r="A26" t="s">
        <v>1886</v>
      </c>
      <c r="B26" t="s">
        <v>1872</v>
      </c>
      <c r="G26" t="s">
        <v>1726</v>
      </c>
      <c r="H26" t="s">
        <v>1399</v>
      </c>
      <c r="I26" t="str">
        <f>CONCATENATE(Table16[[#This Row],[Source of Funds]]," - ",Table16[[#This Row],[Account]])</f>
        <v>C&amp;G - Other Personnel</v>
      </c>
    </row>
    <row r="27" spans="1:9">
      <c r="A27" t="s">
        <v>1887</v>
      </c>
      <c r="B27" t="s">
        <v>1872</v>
      </c>
      <c r="G27" t="s">
        <v>1726</v>
      </c>
      <c r="H27" t="s">
        <v>1340</v>
      </c>
      <c r="I27" t="str">
        <f>CONCATENATE(Table16[[#This Row],[Source of Funds]]," - ",Table16[[#This Row],[Account]])</f>
        <v>C&amp;G - Equipment</v>
      </c>
    </row>
    <row r="28" spans="1:9">
      <c r="A28" t="s">
        <v>1888</v>
      </c>
      <c r="B28" t="s">
        <v>1872</v>
      </c>
      <c r="G28" t="s">
        <v>1726</v>
      </c>
      <c r="H28" t="s">
        <v>1307</v>
      </c>
      <c r="I28" t="str">
        <f>CONCATENATE(Table16[[#This Row],[Source of Funds]]," - ",Table16[[#This Row],[Account]])</f>
        <v>C&amp;G - Domestic</v>
      </c>
    </row>
    <row r="29" spans="1:9">
      <c r="A29" t="s">
        <v>1387</v>
      </c>
      <c r="B29" t="s">
        <v>1844</v>
      </c>
      <c r="G29" t="s">
        <v>1726</v>
      </c>
      <c r="H29" t="s">
        <v>1308</v>
      </c>
      <c r="I29" t="str">
        <f>CONCATENATE(Table16[[#This Row],[Source of Funds]]," - ",Table16[[#This Row],[Account]])</f>
        <v>C&amp;G - International</v>
      </c>
    </row>
    <row r="30" spans="1:9">
      <c r="A30" t="s">
        <v>1341</v>
      </c>
      <c r="B30" t="s">
        <v>1341</v>
      </c>
      <c r="G30" t="s">
        <v>1726</v>
      </c>
      <c r="H30" t="s">
        <v>1343</v>
      </c>
      <c r="I30" t="str">
        <f>CONCATENATE(Table16[[#This Row],[Source of Funds]]," - ",Table16[[#This Row],[Account]])</f>
        <v>C&amp;G - Tuition</v>
      </c>
    </row>
    <row r="31" spans="1:9">
      <c r="A31" t="s">
        <v>1381</v>
      </c>
      <c r="B31" t="s">
        <v>1845</v>
      </c>
      <c r="G31" t="s">
        <v>1726</v>
      </c>
      <c r="H31" t="s">
        <v>1339</v>
      </c>
      <c r="I31" t="str">
        <f>CONCATENATE(Table16[[#This Row],[Source of Funds]]," - ",Table16[[#This Row],[Account]])</f>
        <v>C&amp;G - Materials and Supplies</v>
      </c>
    </row>
    <row r="32" spans="1:9">
      <c r="A32" t="s">
        <v>1384</v>
      </c>
      <c r="B32" t="s">
        <v>1384</v>
      </c>
      <c r="G32" t="s">
        <v>1726</v>
      </c>
      <c r="H32" t="s">
        <v>1334</v>
      </c>
      <c r="I32" t="str">
        <f>CONCATENATE(Table16[[#This Row],[Source of Funds]]," - ",Table16[[#This Row],[Account]])</f>
        <v>C&amp;G - Publication Costs</v>
      </c>
    </row>
    <row r="33" spans="1:9">
      <c r="A33" t="s">
        <v>1343</v>
      </c>
      <c r="B33" t="s">
        <v>1343</v>
      </c>
      <c r="G33" t="s">
        <v>1726</v>
      </c>
      <c r="H33" t="s">
        <v>1332</v>
      </c>
      <c r="I33" t="str">
        <f>CONCATENATE(Table16[[#This Row],[Source of Funds]]," - ",Table16[[#This Row],[Account]])</f>
        <v>C&amp;G - Consultant Services</v>
      </c>
    </row>
    <row r="34" spans="1:9">
      <c r="A34" t="s">
        <v>1892</v>
      </c>
      <c r="B34" t="s">
        <v>1356</v>
      </c>
      <c r="G34" t="s">
        <v>1726</v>
      </c>
      <c r="H34" t="s">
        <v>1727</v>
      </c>
      <c r="I34" t="str">
        <f>CONCATENATE(Table16[[#This Row],[Source of Funds]]," - ",Table16[[#This Row],[Account]])</f>
        <v>C&amp;G - Subawards/Consortium/Contractual Costs</v>
      </c>
    </row>
    <row r="35" spans="1:9">
      <c r="A35" t="s">
        <v>1893</v>
      </c>
      <c r="B35" t="s">
        <v>1356</v>
      </c>
      <c r="G35" t="s">
        <v>1726</v>
      </c>
      <c r="H35" t="s">
        <v>1358</v>
      </c>
      <c r="I35" t="str">
        <f>CONCATENATE(Table16[[#This Row],[Source of Funds]]," - ",Table16[[#This Row],[Account]])</f>
        <v>C&amp;G - Stipends</v>
      </c>
    </row>
    <row r="36" spans="1:9">
      <c r="G36" t="s">
        <v>1726</v>
      </c>
      <c r="H36" t="s">
        <v>1382</v>
      </c>
      <c r="I36" t="str">
        <f>CONCATENATE(Table16[[#This Row],[Source of Funds]]," - ",Table16[[#This Row],[Account]])</f>
        <v>C&amp;G - Professional Services</v>
      </c>
    </row>
    <row r="37" spans="1:9">
      <c r="G37" t="s">
        <v>1726</v>
      </c>
      <c r="H37" t="s">
        <v>1341</v>
      </c>
      <c r="I37" t="str">
        <f>CONCATENATE(Table16[[#This Row],[Source of Funds]]," - ",Table16[[#This Row],[Account]])</f>
        <v>C&amp;G - Rent</v>
      </c>
    </row>
    <row r="38" spans="1:9">
      <c r="G38" t="s">
        <v>1726</v>
      </c>
      <c r="H38" t="s">
        <v>1393</v>
      </c>
      <c r="I38" t="str">
        <f>CONCATENATE(Table16[[#This Row],[Source of Funds]]," - ",Table16[[#This Row],[Account]])</f>
        <v>C&amp;G - Participant Support</v>
      </c>
    </row>
    <row r="39" spans="1:9">
      <c r="G39" t="s">
        <v>1726</v>
      </c>
      <c r="H39" t="s">
        <v>1293</v>
      </c>
      <c r="I39" t="str">
        <f>CONCATENATE(Table16[[#This Row],[Source of Funds]]," - ",Table16[[#This Row],[Account]])</f>
        <v>C&amp;G - Other</v>
      </c>
    </row>
  </sheetData>
  <sortState xmlns:xlrd2="http://schemas.microsoft.com/office/spreadsheetml/2017/richdata2" ref="A2:A26">
    <sortCondition ref="A2"/>
  </sortState>
  <mergeCells count="2">
    <mergeCell ref="A1:B1"/>
    <mergeCell ref="G1:I1"/>
  </mergeCells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5"/>
  <sheetViews>
    <sheetView workbookViewId="0"/>
  </sheetViews>
  <sheetFormatPr defaultColWidth="9.1796875" defaultRowHeight="14.5"/>
  <cols>
    <col min="1" max="1" width="28.453125" bestFit="1" customWidth="1"/>
    <col min="2" max="2" width="10" bestFit="1" customWidth="1"/>
    <col min="3" max="3" width="6.453125" bestFit="1" customWidth="1"/>
    <col min="4" max="4" width="11" bestFit="1" customWidth="1"/>
    <col min="5" max="5" width="9.7265625" bestFit="1" customWidth="1"/>
    <col min="6" max="7" width="11.26953125" bestFit="1" customWidth="1"/>
    <col min="8" max="8" width="7.1796875" bestFit="1" customWidth="1"/>
    <col min="9" max="9" width="9" bestFit="1" customWidth="1"/>
    <col min="10" max="10" width="11.26953125" bestFit="1" customWidth="1"/>
    <col min="11" max="11" width="12.81640625" bestFit="1" customWidth="1"/>
    <col min="12" max="12" width="6.26953125" bestFit="1" customWidth="1"/>
    <col min="13" max="13" width="20.26953125" bestFit="1" customWidth="1"/>
    <col min="14" max="15" width="16.26953125" bestFit="1" customWidth="1"/>
    <col min="16" max="16" width="8.7265625" bestFit="1" customWidth="1"/>
    <col min="17" max="17" width="11.54296875" bestFit="1" customWidth="1"/>
  </cols>
  <sheetData>
    <row r="1" spans="1:17">
      <c r="A1" t="s">
        <v>1435</v>
      </c>
      <c r="B1" t="s">
        <v>1436</v>
      </c>
      <c r="C1" t="s">
        <v>11</v>
      </c>
      <c r="D1" t="s">
        <v>1437</v>
      </c>
      <c r="E1" t="s">
        <v>1438</v>
      </c>
      <c r="F1" t="s">
        <v>1439</v>
      </c>
      <c r="G1" t="s">
        <v>1440</v>
      </c>
      <c r="H1" t="s">
        <v>1441</v>
      </c>
      <c r="I1" t="s">
        <v>1442</v>
      </c>
      <c r="J1" t="s">
        <v>1443</v>
      </c>
      <c r="K1" t="s">
        <v>1444</v>
      </c>
      <c r="L1" t="s">
        <v>1445</v>
      </c>
      <c r="M1" t="s">
        <v>125</v>
      </c>
      <c r="N1" t="s">
        <v>1446</v>
      </c>
      <c r="O1" t="s">
        <v>1447</v>
      </c>
      <c r="P1" t="s">
        <v>1448</v>
      </c>
      <c r="Q1" t="s">
        <v>1467</v>
      </c>
    </row>
    <row r="2" spans="1:17">
      <c r="D2" s="2"/>
      <c r="N2" s="44"/>
      <c r="O2" s="44"/>
      <c r="Q2" s="45">
        <f>SUMIFS(Table24[Amount Encumbered],Table24[Empl ID],Table1[[#This Row],[Empl Id]],Table24[Rcd],Table1[[#This Row],[Rcd]])*(Table1[[#This Row],[Dist %]]/100)</f>
        <v>0</v>
      </c>
    </row>
    <row r="3" spans="1:17">
      <c r="D3" s="2"/>
      <c r="N3" s="44"/>
      <c r="O3" s="44"/>
      <c r="Q3" s="45">
        <f>SUMIFS(Table24[Amount Encumbered],Table24[Empl ID],Table1[[#This Row],[Empl Id]],Table24[Rcd],Table1[[#This Row],[Rcd]])*(Table1[[#This Row],[Dist %]]/100)</f>
        <v>0</v>
      </c>
    </row>
    <row r="4" spans="1:17">
      <c r="D4" s="2"/>
      <c r="N4" s="44"/>
      <c r="O4" s="44"/>
      <c r="Q4" s="45">
        <f>SUMIFS(Table24[Amount Encumbered],Table24[Empl ID],Table1[[#This Row],[Empl Id]],Table24[Rcd],Table1[[#This Row],[Rcd]])*(Table1[[#This Row],[Dist %]]/100)</f>
        <v>0</v>
      </c>
    </row>
    <row r="5" spans="1:17">
      <c r="D5" s="2"/>
      <c r="N5" s="44"/>
      <c r="O5" s="44"/>
      <c r="Q5" s="45">
        <f>SUMIFS(Table24[Amount Encumbered],Table24[Empl ID],Table1[[#This Row],[Empl Id]],Table24[Rcd],Table1[[#This Row],[Rcd]])*(Table1[[#This Row],[Dist %]]/100)</f>
        <v>0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4"/>
  <sheetViews>
    <sheetView workbookViewId="0"/>
  </sheetViews>
  <sheetFormatPr defaultColWidth="9.1796875" defaultRowHeight="14.5"/>
  <cols>
    <col min="1" max="1" width="12.453125" customWidth="1"/>
    <col min="2" max="2" width="16" customWidth="1"/>
    <col min="3" max="3" width="18.453125" customWidth="1"/>
    <col min="4" max="4" width="11.7265625" customWidth="1"/>
    <col min="5" max="5" width="13.7265625" customWidth="1"/>
    <col min="6" max="6" width="9.81640625" customWidth="1"/>
    <col min="8" max="9" width="10.453125" customWidth="1"/>
    <col min="11" max="11" width="13" customWidth="1"/>
    <col min="12" max="12" width="17.54296875" customWidth="1"/>
    <col min="13" max="13" width="14.453125" customWidth="1"/>
    <col min="14" max="14" width="33.54296875" customWidth="1"/>
    <col min="15" max="15" width="21.81640625" customWidth="1"/>
  </cols>
  <sheetData>
    <row r="1" spans="1:15">
      <c r="A1" t="s">
        <v>4</v>
      </c>
      <c r="B1" t="s">
        <v>18</v>
      </c>
      <c r="C1" t="s">
        <v>6</v>
      </c>
      <c r="D1" t="s">
        <v>1456</v>
      </c>
      <c r="E1" t="s">
        <v>1455</v>
      </c>
      <c r="F1" t="s">
        <v>1</v>
      </c>
      <c r="G1" t="s">
        <v>11</v>
      </c>
      <c r="H1" t="s">
        <v>1454</v>
      </c>
      <c r="I1" t="s">
        <v>12</v>
      </c>
      <c r="J1" t="s">
        <v>1435</v>
      </c>
      <c r="K1" t="s">
        <v>1453</v>
      </c>
      <c r="L1" t="s">
        <v>1452</v>
      </c>
      <c r="M1" t="s">
        <v>1451</v>
      </c>
      <c r="N1" t="s">
        <v>1450</v>
      </c>
      <c r="O1" t="s">
        <v>1449</v>
      </c>
    </row>
    <row r="2" spans="1:15">
      <c r="A2" s="2"/>
    </row>
    <row r="3" spans="1:15">
      <c r="A3" s="2"/>
    </row>
    <row r="4" spans="1:15">
      <c r="A4" s="2"/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862633"/>
  </sheetPr>
  <dimension ref="A1:Q3"/>
  <sheetViews>
    <sheetView workbookViewId="0">
      <selection activeCell="A39" sqref="A3:XFD39"/>
    </sheetView>
  </sheetViews>
  <sheetFormatPr defaultColWidth="9.26953125" defaultRowHeight="14.5"/>
  <cols>
    <col min="6" max="6" width="11.1796875" customWidth="1"/>
    <col min="7" max="7" width="15" customWidth="1"/>
    <col min="8" max="8" width="17.1796875" customWidth="1"/>
    <col min="10" max="10" width="16.54296875" customWidth="1"/>
    <col min="11" max="11" width="18.54296875" customWidth="1"/>
    <col min="12" max="12" width="9.54296875" customWidth="1"/>
    <col min="13" max="13" width="15.81640625" customWidth="1"/>
    <col min="14" max="14" width="21.26953125" customWidth="1"/>
    <col min="15" max="15" width="19.453125" customWidth="1"/>
    <col min="16" max="16" width="17.26953125" customWidth="1"/>
    <col min="17" max="17" width="9.81640625" customWidth="1"/>
  </cols>
  <sheetData>
    <row r="1" spans="1:17">
      <c r="A1" t="s">
        <v>1710</v>
      </c>
    </row>
    <row r="2" spans="1:17">
      <c r="A2" t="s">
        <v>1562</v>
      </c>
      <c r="B2" t="s">
        <v>1561</v>
      </c>
      <c r="C2" t="s">
        <v>1560</v>
      </c>
      <c r="D2" t="s">
        <v>1559</v>
      </c>
      <c r="E2" t="s">
        <v>19</v>
      </c>
      <c r="F2" t="s">
        <v>20</v>
      </c>
      <c r="G2" t="s">
        <v>5</v>
      </c>
      <c r="H2" t="s">
        <v>6</v>
      </c>
      <c r="I2" t="s">
        <v>1558</v>
      </c>
      <c r="J2" t="s">
        <v>1557</v>
      </c>
      <c r="K2" t="s">
        <v>1556</v>
      </c>
      <c r="L2" t="s">
        <v>1555</v>
      </c>
      <c r="M2" t="s">
        <v>1554</v>
      </c>
      <c r="N2" t="s">
        <v>1553</v>
      </c>
      <c r="O2" t="s">
        <v>1552</v>
      </c>
      <c r="P2" t="s">
        <v>1319</v>
      </c>
      <c r="Q2" t="s">
        <v>1551</v>
      </c>
    </row>
    <row r="3" spans="1:17">
      <c r="L3" s="48"/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41"/>
  <sheetViews>
    <sheetView workbookViewId="0"/>
  </sheetViews>
  <sheetFormatPr defaultRowHeight="14.5"/>
  <cols>
    <col min="1" max="1" width="9.26953125" bestFit="1" customWidth="1"/>
    <col min="2" max="2" width="25.26953125" bestFit="1" customWidth="1"/>
    <col min="3" max="3" width="9.26953125"/>
    <col min="4" max="4" width="15.453125" bestFit="1" customWidth="1"/>
    <col min="5" max="5" width="28.54296875" bestFit="1" customWidth="1"/>
  </cols>
  <sheetData>
    <row r="1" spans="1:5">
      <c r="A1" t="s">
        <v>19</v>
      </c>
      <c r="B1" t="s">
        <v>20</v>
      </c>
      <c r="D1" t="s">
        <v>5</v>
      </c>
      <c r="E1" t="s">
        <v>6</v>
      </c>
    </row>
    <row r="2" spans="1:5">
      <c r="A2">
        <v>110</v>
      </c>
      <c r="B2" t="s">
        <v>1707</v>
      </c>
      <c r="D2">
        <v>213000</v>
      </c>
      <c r="E2" t="s">
        <v>1549</v>
      </c>
    </row>
    <row r="3" spans="1:5">
      <c r="A3">
        <v>140</v>
      </c>
      <c r="B3" t="s">
        <v>1706</v>
      </c>
      <c r="D3">
        <v>213999</v>
      </c>
      <c r="E3" t="s">
        <v>1550</v>
      </c>
    </row>
    <row r="4" spans="1:5">
      <c r="A4">
        <v>211</v>
      </c>
      <c r="B4" t="s">
        <v>1498</v>
      </c>
      <c r="D4">
        <v>213002</v>
      </c>
      <c r="E4" t="s">
        <v>1699</v>
      </c>
    </row>
    <row r="5" spans="1:5">
      <c r="A5">
        <v>320</v>
      </c>
      <c r="B5" t="s">
        <v>1513</v>
      </c>
      <c r="D5">
        <v>214000</v>
      </c>
      <c r="E5" t="s">
        <v>1542</v>
      </c>
    </row>
    <row r="6" spans="1:5">
      <c r="A6">
        <v>241</v>
      </c>
      <c r="B6" t="s">
        <v>1517</v>
      </c>
      <c r="D6">
        <v>214011</v>
      </c>
      <c r="E6" t="s">
        <v>1548</v>
      </c>
    </row>
    <row r="7" spans="1:5">
      <c r="A7">
        <v>301</v>
      </c>
      <c r="B7" t="s">
        <v>1515</v>
      </c>
      <c r="D7">
        <v>214013</v>
      </c>
      <c r="E7" t="s">
        <v>1547</v>
      </c>
    </row>
    <row r="8" spans="1:5">
      <c r="A8">
        <v>160</v>
      </c>
      <c r="B8" t="s">
        <v>1510</v>
      </c>
      <c r="D8">
        <v>214014</v>
      </c>
      <c r="E8" t="s">
        <v>1546</v>
      </c>
    </row>
    <row r="9" spans="1:5">
      <c r="A9">
        <v>615</v>
      </c>
      <c r="B9" t="s">
        <v>1533</v>
      </c>
      <c r="D9">
        <v>214015</v>
      </c>
      <c r="E9" t="s">
        <v>1545</v>
      </c>
    </row>
    <row r="10" spans="1:5">
      <c r="A10">
        <v>620</v>
      </c>
      <c r="B10" t="s">
        <v>1531</v>
      </c>
      <c r="D10">
        <v>214999</v>
      </c>
      <c r="E10" t="s">
        <v>1544</v>
      </c>
    </row>
    <row r="11" spans="1:5">
      <c r="D11">
        <v>214012</v>
      </c>
      <c r="E11" t="s">
        <v>1543</v>
      </c>
    </row>
    <row r="12" spans="1:5">
      <c r="D12">
        <v>214001</v>
      </c>
      <c r="E12" t="s">
        <v>1702</v>
      </c>
    </row>
    <row r="13" spans="1:5">
      <c r="D13">
        <v>215000</v>
      </c>
      <c r="E13" t="s">
        <v>1700</v>
      </c>
    </row>
    <row r="14" spans="1:5">
      <c r="D14">
        <v>215011</v>
      </c>
      <c r="E14" t="s">
        <v>1540</v>
      </c>
    </row>
    <row r="15" spans="1:5">
      <c r="D15">
        <v>215999</v>
      </c>
      <c r="E15" t="s">
        <v>1541</v>
      </c>
    </row>
    <row r="16" spans="1:5">
      <c r="D16">
        <v>215012</v>
      </c>
      <c r="E16" t="s">
        <v>1539</v>
      </c>
    </row>
    <row r="17" spans="4:5">
      <c r="D17">
        <v>215013</v>
      </c>
      <c r="E17" t="s">
        <v>1538</v>
      </c>
    </row>
    <row r="18" spans="4:5">
      <c r="D18">
        <v>212000</v>
      </c>
      <c r="E18" t="s">
        <v>1701</v>
      </c>
    </row>
    <row r="19" spans="4:5">
      <c r="D19">
        <v>212001</v>
      </c>
      <c r="E19" t="s">
        <v>1537</v>
      </c>
    </row>
    <row r="20" spans="4:5">
      <c r="D20">
        <v>212004</v>
      </c>
      <c r="E20" t="s">
        <v>1536</v>
      </c>
    </row>
    <row r="21" spans="4:5">
      <c r="D21">
        <v>212006</v>
      </c>
      <c r="E21" t="s">
        <v>1703</v>
      </c>
    </row>
    <row r="22" spans="4:5">
      <c r="D22">
        <v>212008</v>
      </c>
      <c r="E22" t="s">
        <v>1704</v>
      </c>
    </row>
    <row r="23" spans="4:5">
      <c r="D23">
        <v>212999</v>
      </c>
      <c r="E23" t="s">
        <v>1535</v>
      </c>
    </row>
    <row r="24" spans="4:5">
      <c r="D24">
        <v>212013</v>
      </c>
      <c r="E24" t="s">
        <v>1534</v>
      </c>
    </row>
    <row r="25" spans="4:5">
      <c r="D25">
        <v>212010</v>
      </c>
      <c r="E25" t="s">
        <v>1532</v>
      </c>
    </row>
    <row r="26" spans="4:5">
      <c r="D26">
        <v>212012</v>
      </c>
      <c r="E26" t="s">
        <v>1530</v>
      </c>
    </row>
    <row r="27" spans="4:5">
      <c r="D27">
        <v>216000</v>
      </c>
      <c r="E27" t="s">
        <v>1526</v>
      </c>
    </row>
    <row r="28" spans="4:5">
      <c r="D28">
        <v>216012</v>
      </c>
      <c r="E28" t="s">
        <v>1529</v>
      </c>
    </row>
    <row r="29" spans="4:5">
      <c r="D29">
        <v>216013</v>
      </c>
      <c r="E29" t="s">
        <v>1528</v>
      </c>
    </row>
    <row r="30" spans="4:5">
      <c r="D30">
        <v>216999</v>
      </c>
      <c r="E30" t="s">
        <v>1527</v>
      </c>
    </row>
    <row r="31" spans="4:5">
      <c r="D31">
        <v>217000</v>
      </c>
      <c r="E31" t="s">
        <v>1523</v>
      </c>
    </row>
    <row r="32" spans="4:5">
      <c r="D32">
        <v>217011</v>
      </c>
      <c r="E32" t="s">
        <v>1525</v>
      </c>
    </row>
    <row r="33" spans="4:5">
      <c r="D33">
        <v>217999</v>
      </c>
      <c r="E33" t="s">
        <v>1524</v>
      </c>
    </row>
    <row r="34" spans="4:5">
      <c r="D34">
        <v>218000</v>
      </c>
      <c r="E34" t="s">
        <v>1514</v>
      </c>
    </row>
    <row r="35" spans="4:5">
      <c r="D35">
        <v>218010</v>
      </c>
      <c r="E35" t="s">
        <v>1522</v>
      </c>
    </row>
    <row r="36" spans="4:5">
      <c r="D36">
        <v>218012</v>
      </c>
      <c r="E36" t="s">
        <v>1521</v>
      </c>
    </row>
    <row r="37" spans="4:5">
      <c r="D37">
        <v>218014</v>
      </c>
      <c r="E37" t="s">
        <v>1520</v>
      </c>
    </row>
    <row r="38" spans="4:5">
      <c r="D38">
        <v>218004</v>
      </c>
      <c r="E38" t="s">
        <v>1519</v>
      </c>
    </row>
    <row r="39" spans="4:5">
      <c r="D39">
        <v>218999</v>
      </c>
      <c r="E39" t="s">
        <v>1518</v>
      </c>
    </row>
    <row r="40" spans="4:5">
      <c r="D40">
        <v>218013</v>
      </c>
      <c r="E40" t="s">
        <v>1516</v>
      </c>
    </row>
    <row r="41" spans="4:5">
      <c r="D41">
        <v>218006</v>
      </c>
      <c r="E41" t="s">
        <v>1705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4"/>
  <dimension ref="B1:F711"/>
  <sheetViews>
    <sheetView workbookViewId="0">
      <selection sqref="A1:C1"/>
    </sheetView>
  </sheetViews>
  <sheetFormatPr defaultRowHeight="14.5"/>
  <cols>
    <col min="1" max="1" width="1.7265625" customWidth="1"/>
    <col min="2" max="2" width="10.453125" bestFit="1" customWidth="1"/>
    <col min="3" max="3" width="32.1796875" bestFit="1" customWidth="1"/>
    <col min="4" max="4" width="22.26953125" bestFit="1" customWidth="1"/>
    <col min="5" max="5" width="22.7265625" customWidth="1"/>
    <col min="6" max="6" width="40" bestFit="1" customWidth="1"/>
    <col min="10" max="10" width="22" bestFit="1" customWidth="1"/>
    <col min="11" max="11" width="22.26953125" bestFit="1" customWidth="1"/>
    <col min="12" max="12" width="28.7265625" bestFit="1" customWidth="1"/>
  </cols>
  <sheetData>
    <row r="1" spans="2:6" ht="8.25" customHeight="1"/>
    <row r="2" spans="2:6">
      <c r="B2" t="s">
        <v>9</v>
      </c>
      <c r="C2" t="s">
        <v>26</v>
      </c>
      <c r="D2" t="s">
        <v>1324</v>
      </c>
      <c r="E2" t="s">
        <v>1325</v>
      </c>
      <c r="F2" t="s">
        <v>1360</v>
      </c>
    </row>
    <row r="3" spans="2:6">
      <c r="B3">
        <v>700000</v>
      </c>
      <c r="C3" t="s">
        <v>768</v>
      </c>
      <c r="D3" t="s">
        <v>1841</v>
      </c>
      <c r="E3" t="s">
        <v>1327</v>
      </c>
      <c r="F3" t="str">
        <f>CONCATENATE(SR_Lookup[[#This Row],[Account]]," - ",SR_Lookup[[#This Row],[Account Desc]])</f>
        <v>700000 - Budget All Expenditures</v>
      </c>
    </row>
    <row r="4" spans="2:6">
      <c r="B4">
        <v>700001</v>
      </c>
      <c r="C4" t="s">
        <v>769</v>
      </c>
      <c r="D4" t="s">
        <v>1841</v>
      </c>
      <c r="F4" t="str">
        <f>CONCATENATE(SR_Lookup[[#This Row],[Account]]," - ",SR_Lookup[[#This Row],[Account Desc]])</f>
        <v>700001 - Budget Direct Costs</v>
      </c>
    </row>
    <row r="5" spans="2:6">
      <c r="B5">
        <v>710000</v>
      </c>
      <c r="C5" t="s">
        <v>770</v>
      </c>
      <c r="D5" t="s">
        <v>1841</v>
      </c>
      <c r="E5" t="s">
        <v>1327</v>
      </c>
      <c r="F5" t="str">
        <f>CONCATENATE(SR_Lookup[[#This Row],[Account]]," - ",SR_Lookup[[#This Row],[Account Desc]])</f>
        <v>710000 - Budget Salary Wages</v>
      </c>
    </row>
    <row r="6" spans="2:6">
      <c r="B6">
        <v>710011</v>
      </c>
      <c r="C6" t="s">
        <v>1735</v>
      </c>
      <c r="D6" t="s">
        <v>1398</v>
      </c>
      <c r="E6" t="s">
        <v>1327</v>
      </c>
      <c r="F6" t="str">
        <f>CONCATENATE(SR_Lookup[[#This Row],[Account]]," - ",SR_Lookup[[#This Row],[Account Desc]])</f>
        <v>710011 - Salary Faculty</v>
      </c>
    </row>
    <row r="7" spans="2:6">
      <c r="B7">
        <v>710012</v>
      </c>
      <c r="C7" t="s">
        <v>1736</v>
      </c>
      <c r="D7" t="s">
        <v>1398</v>
      </c>
      <c r="E7" t="s">
        <v>1327</v>
      </c>
      <c r="F7" t="str">
        <f>CONCATENATE(SR_Lookup[[#This Row],[Account]]," - ",SR_Lookup[[#This Row],[Account Desc]])</f>
        <v>710012 - Salary Clinical Faculty</v>
      </c>
    </row>
    <row r="8" spans="2:6">
      <c r="B8">
        <v>710013</v>
      </c>
      <c r="C8" t="s">
        <v>1737</v>
      </c>
      <c r="D8" t="s">
        <v>1398</v>
      </c>
      <c r="F8" t="str">
        <f>CONCATENATE(SR_Lookup[[#This Row],[Account]]," - ",SR_Lookup[[#This Row],[Account Desc]])</f>
        <v>710013 - Salary Charter Sch Faculty</v>
      </c>
    </row>
    <row r="9" spans="2:6">
      <c r="B9">
        <v>710018</v>
      </c>
      <c r="C9" t="s">
        <v>1738</v>
      </c>
      <c r="D9" t="s">
        <v>1398</v>
      </c>
      <c r="E9" t="s">
        <v>1327</v>
      </c>
      <c r="F9" t="str">
        <f>CONCATENATE(SR_Lookup[[#This Row],[Account]]," - ",SR_Lookup[[#This Row],[Account Desc]])</f>
        <v>710018 - Salary Nonrecur Fac Bonus-1x</v>
      </c>
    </row>
    <row r="10" spans="2:6">
      <c r="B10">
        <v>710019</v>
      </c>
      <c r="C10" t="s">
        <v>1739</v>
      </c>
      <c r="D10" t="s">
        <v>1398</v>
      </c>
      <c r="E10" t="s">
        <v>1327</v>
      </c>
      <c r="F10" t="str">
        <f>CONCATENATE(SR_Lookup[[#This Row],[Account]]," - ",SR_Lookup[[#This Row],[Account Desc]])</f>
        <v>710019 - Salary Nonrecur Fac Suppl</v>
      </c>
    </row>
    <row r="11" spans="2:6">
      <c r="B11">
        <v>710021</v>
      </c>
      <c r="C11" t="s">
        <v>1853</v>
      </c>
      <c r="D11" t="s">
        <v>1399</v>
      </c>
      <c r="E11" t="s">
        <v>1327</v>
      </c>
      <c r="F11" t="str">
        <f>CONCATENATE(SR_Lookup[[#This Row],[Account]]," - ",SR_Lookup[[#This Row],[Account Desc]])</f>
        <v>710021 - Salary Executive Service</v>
      </c>
    </row>
    <row r="12" spans="2:6">
      <c r="B12">
        <v>710022</v>
      </c>
      <c r="C12" t="s">
        <v>1741</v>
      </c>
      <c r="D12" t="s">
        <v>1399</v>
      </c>
      <c r="E12" t="s">
        <v>1327</v>
      </c>
      <c r="F12" t="str">
        <f>CONCATENATE(SR_Lookup[[#This Row],[Account]]," - ",SR_Lookup[[#This Row],[Account Desc]])</f>
        <v>710022 - Salary Admin &amp; Professional</v>
      </c>
    </row>
    <row r="13" spans="2:6">
      <c r="B13">
        <v>710023</v>
      </c>
      <c r="C13" t="s">
        <v>1854</v>
      </c>
      <c r="D13" t="s">
        <v>1399</v>
      </c>
      <c r="F13" t="str">
        <f>CONCATENATE(SR_Lookup[[#This Row],[Account]]," - ",SR_Lookup[[#This Row],[Account Desc]])</f>
        <v>710023 - Salary Athletic Coaches</v>
      </c>
    </row>
    <row r="14" spans="2:6">
      <c r="B14">
        <v>710024</v>
      </c>
      <c r="C14" t="s">
        <v>1744</v>
      </c>
      <c r="D14" t="s">
        <v>1399</v>
      </c>
      <c r="E14" t="s">
        <v>1327</v>
      </c>
      <c r="F14" t="str">
        <f>CONCATENATE(SR_Lookup[[#This Row],[Account]]," - ",SR_Lookup[[#This Row],[Account Desc]])</f>
        <v>710024 - Salary USPS</v>
      </c>
    </row>
    <row r="15" spans="2:6">
      <c r="B15">
        <v>710028</v>
      </c>
      <c r="C15" t="s">
        <v>1745</v>
      </c>
      <c r="D15" t="s">
        <v>1399</v>
      </c>
      <c r="E15" t="s">
        <v>1327</v>
      </c>
      <c r="F15" t="str">
        <f>CONCATENATE(SR_Lookup[[#This Row],[Account]]," - ",SR_Lookup[[#This Row],[Account Desc]])</f>
        <v>710028 - Salary Nonrecur Staff Bonus-1x</v>
      </c>
    </row>
    <row r="16" spans="2:6">
      <c r="B16">
        <v>710029</v>
      </c>
      <c r="C16" t="s">
        <v>1746</v>
      </c>
      <c r="D16" t="s">
        <v>1399</v>
      </c>
      <c r="E16" t="s">
        <v>1327</v>
      </c>
      <c r="F16" t="str">
        <f>CONCATENATE(SR_Lookup[[#This Row],[Account]]," - ",SR_Lookup[[#This Row],[Account Desc]])</f>
        <v>710029 - Salary Nonrecur Staff OT-Suppl</v>
      </c>
    </row>
    <row r="17" spans="2:6">
      <c r="B17">
        <v>710100</v>
      </c>
      <c r="C17" t="s">
        <v>771</v>
      </c>
      <c r="D17" t="s">
        <v>1841</v>
      </c>
      <c r="F17" t="str">
        <f>CONCATENATE(SR_Lookup[[#This Row],[Account]]," - ",SR_Lookup[[#This Row],[Account Desc]])</f>
        <v>710100 - Budget Sal  Wages OPS Restrict</v>
      </c>
    </row>
    <row r="18" spans="2:6">
      <c r="B18">
        <v>710111</v>
      </c>
      <c r="C18" t="s">
        <v>60</v>
      </c>
      <c r="D18" t="s">
        <v>1398</v>
      </c>
      <c r="E18" t="s">
        <v>1327</v>
      </c>
      <c r="F18" t="str">
        <f>CONCATENATE(SR_Lookup[[#This Row],[Account]]," - ",SR_Lookup[[#This Row],[Account Desc]])</f>
        <v>710111 - 12 Month Faculty</v>
      </c>
    </row>
    <row r="19" spans="2:6">
      <c r="B19">
        <v>710112</v>
      </c>
      <c r="C19" t="s">
        <v>61</v>
      </c>
      <c r="D19" t="s">
        <v>1841</v>
      </c>
      <c r="E19" t="s">
        <v>1327</v>
      </c>
      <c r="F19" t="str">
        <f>CONCATENATE(SR_Lookup[[#This Row],[Account]]," - ",SR_Lookup[[#This Row],[Account Desc]])</f>
        <v>710112 - Fac Annual Leave Sep Payout</v>
      </c>
    </row>
    <row r="20" spans="2:6">
      <c r="B20">
        <v>710113</v>
      </c>
      <c r="C20" t="s">
        <v>62</v>
      </c>
      <c r="D20" t="s">
        <v>1841</v>
      </c>
      <c r="E20" t="s">
        <v>1327</v>
      </c>
      <c r="F20" t="str">
        <f>CONCATENATE(SR_Lookup[[#This Row],[Account]]," - ",SR_Lookup[[#This Row],[Account Desc]])</f>
        <v>710113 - Fac Sick Leave Sep Payout</v>
      </c>
    </row>
    <row r="21" spans="2:6">
      <c r="B21">
        <v>710114</v>
      </c>
      <c r="C21" t="s">
        <v>63</v>
      </c>
      <c r="D21" t="s">
        <v>1398</v>
      </c>
      <c r="E21" t="s">
        <v>1327</v>
      </c>
      <c r="F21" t="str">
        <f>CONCATENATE(SR_Lookup[[#This Row],[Account]]," - ",SR_Lookup[[#This Row],[Account Desc]])</f>
        <v>710114 - 9 Month Faculty</v>
      </c>
    </row>
    <row r="22" spans="2:6">
      <c r="B22">
        <v>710115</v>
      </c>
      <c r="C22" t="s">
        <v>64</v>
      </c>
      <c r="D22" t="s">
        <v>1398</v>
      </c>
      <c r="E22" t="s">
        <v>1327</v>
      </c>
      <c r="F22" t="str">
        <f>CONCATENATE(SR_Lookup[[#This Row],[Account]]," - ",SR_Lookup[[#This Row],[Account Desc]])</f>
        <v>710115 - Summer Faculty</v>
      </c>
    </row>
    <row r="23" spans="2:6">
      <c r="B23">
        <v>710116</v>
      </c>
      <c r="C23" t="s">
        <v>65</v>
      </c>
      <c r="D23" t="s">
        <v>1398</v>
      </c>
      <c r="E23" t="s">
        <v>1327</v>
      </c>
      <c r="F23" t="str">
        <f>CONCATENATE(SR_Lookup[[#This Row],[Account]]," - ",SR_Lookup[[#This Row],[Account Desc]])</f>
        <v>710116 - 10 Month Faculty - DRS</v>
      </c>
    </row>
    <row r="24" spans="2:6">
      <c r="B24">
        <v>710117</v>
      </c>
      <c r="C24" t="s">
        <v>1855</v>
      </c>
      <c r="D24" t="s">
        <v>1398</v>
      </c>
      <c r="E24" t="s">
        <v>1327</v>
      </c>
      <c r="F24" t="str">
        <f>CONCATENATE(SR_Lookup[[#This Row],[Account]]," - ",SR_Lookup[[#This Row],[Account Desc]])</f>
        <v>710117 - Faculty Paid PaRental Leave</v>
      </c>
    </row>
    <row r="25" spans="2:6">
      <c r="B25">
        <v>710118</v>
      </c>
      <c r="C25" t="s">
        <v>66</v>
      </c>
      <c r="D25" t="s">
        <v>1398</v>
      </c>
      <c r="E25" t="s">
        <v>1327</v>
      </c>
      <c r="F25" t="str">
        <f>CONCATENATE(SR_Lookup[[#This Row],[Account]]," - ",SR_Lookup[[#This Row],[Account Desc]])</f>
        <v>710118 - Faculty Bonus Pay</v>
      </c>
    </row>
    <row r="26" spans="2:6">
      <c r="B26">
        <v>710121</v>
      </c>
      <c r="C26" t="s">
        <v>35</v>
      </c>
      <c r="D26" t="s">
        <v>1399</v>
      </c>
      <c r="E26" t="s">
        <v>1327</v>
      </c>
      <c r="F26" t="str">
        <f>CONCATENATE(SR_Lookup[[#This Row],[Account]]," - ",SR_Lookup[[#This Row],[Account Desc]])</f>
        <v>710121 - Admin &amp; Professional Salaries</v>
      </c>
    </row>
    <row r="27" spans="2:6">
      <c r="B27">
        <v>710122</v>
      </c>
      <c r="C27" t="s">
        <v>56</v>
      </c>
      <c r="D27" t="s">
        <v>1841</v>
      </c>
      <c r="E27" t="s">
        <v>1327</v>
      </c>
      <c r="F27" t="str">
        <f>CONCATENATE(SR_Lookup[[#This Row],[Account]]," - ",SR_Lookup[[#This Row],[Account Desc]])</f>
        <v>710122 - A&amp;P Separation Payout</v>
      </c>
    </row>
    <row r="28" spans="2:6">
      <c r="B28">
        <v>710123</v>
      </c>
      <c r="C28" t="s">
        <v>67</v>
      </c>
      <c r="D28" t="s">
        <v>1841</v>
      </c>
      <c r="E28" t="s">
        <v>1327</v>
      </c>
      <c r="F28" t="str">
        <f>CONCATENATE(SR_Lookup[[#This Row],[Account]]," - ",SR_Lookup[[#This Row],[Account Desc]])</f>
        <v>710123 - A&amp;P Sick Leave Sep Payout</v>
      </c>
    </row>
    <row r="29" spans="2:6">
      <c r="B29">
        <v>710124</v>
      </c>
      <c r="C29" t="s">
        <v>36</v>
      </c>
      <c r="D29" t="s">
        <v>1399</v>
      </c>
      <c r="E29" t="s">
        <v>1328</v>
      </c>
      <c r="F29" t="str">
        <f>CONCATENATE(SR_Lookup[[#This Row],[Account]]," - ",SR_Lookup[[#This Row],[Account Desc]])</f>
        <v>710124 - USPS Salaries</v>
      </c>
    </row>
    <row r="30" spans="2:6">
      <c r="B30">
        <v>710125</v>
      </c>
      <c r="C30" t="s">
        <v>68</v>
      </c>
      <c r="D30" t="s">
        <v>1841</v>
      </c>
      <c r="E30" t="s">
        <v>1328</v>
      </c>
      <c r="F30" t="str">
        <f>CONCATENATE(SR_Lookup[[#This Row],[Account]]," - ",SR_Lookup[[#This Row],[Account Desc]])</f>
        <v>710125 - USPS Separation Payout</v>
      </c>
    </row>
    <row r="31" spans="2:6">
      <c r="B31">
        <v>710126</v>
      </c>
      <c r="C31" t="s">
        <v>69</v>
      </c>
      <c r="D31" t="s">
        <v>1841</v>
      </c>
      <c r="E31" t="s">
        <v>1328</v>
      </c>
      <c r="F31" t="str">
        <f>CONCATENATE(SR_Lookup[[#This Row],[Account]]," - ",SR_Lookup[[#This Row],[Account Desc]])</f>
        <v>710126 - USPS Sick Leave Sep Payout</v>
      </c>
    </row>
    <row r="32" spans="2:6">
      <c r="B32">
        <v>710127</v>
      </c>
      <c r="C32" t="s">
        <v>1568</v>
      </c>
      <c r="D32" t="s">
        <v>1399</v>
      </c>
      <c r="E32" t="s">
        <v>1328</v>
      </c>
      <c r="F32" t="str">
        <f>CONCATENATE(SR_Lookup[[#This Row],[Account]]," - ",SR_Lookup[[#This Row],[Account Desc]])</f>
        <v>710127 - A&amp;P Comp Payout</v>
      </c>
    </row>
    <row r="33" spans="2:6">
      <c r="B33">
        <v>710128</v>
      </c>
      <c r="C33" t="s">
        <v>71</v>
      </c>
      <c r="D33" t="s">
        <v>1399</v>
      </c>
      <c r="E33" t="s">
        <v>1328</v>
      </c>
      <c r="F33" t="str">
        <f>CONCATENATE(SR_Lookup[[#This Row],[Account]]," - ",SR_Lookup[[#This Row],[Account Desc]])</f>
        <v>710128 - USPS Comp Payout</v>
      </c>
    </row>
    <row r="34" spans="2:6">
      <c r="B34">
        <v>710129</v>
      </c>
      <c r="C34" t="s">
        <v>72</v>
      </c>
      <c r="D34" t="s">
        <v>1399</v>
      </c>
      <c r="E34" t="s">
        <v>1328</v>
      </c>
      <c r="F34" t="str">
        <f>CONCATENATE(SR_Lookup[[#This Row],[Account]]," - ",SR_Lookup[[#This Row],[Account Desc]])</f>
        <v>710129 - USPS Overtime</v>
      </c>
    </row>
    <row r="35" spans="2:6">
      <c r="B35">
        <v>710130</v>
      </c>
      <c r="C35" t="s">
        <v>57</v>
      </c>
      <c r="D35" t="s">
        <v>1399</v>
      </c>
      <c r="E35" t="s">
        <v>1328</v>
      </c>
      <c r="F35" t="str">
        <f>CONCATENATE(SR_Lookup[[#This Row],[Account]]," - ",SR_Lookup[[#This Row],[Account Desc]])</f>
        <v>710130 - USPS Bonus Pay</v>
      </c>
    </row>
    <row r="36" spans="2:6">
      <c r="B36">
        <v>710131</v>
      </c>
      <c r="C36" t="s">
        <v>58</v>
      </c>
      <c r="D36" t="s">
        <v>1399</v>
      </c>
      <c r="E36" t="s">
        <v>1328</v>
      </c>
      <c r="F36" t="str">
        <f>CONCATENATE(SR_Lookup[[#This Row],[Account]]," - ",SR_Lookup[[#This Row],[Account Desc]])</f>
        <v>710131 - A&amp;P Bonus Pay</v>
      </c>
    </row>
    <row r="37" spans="2:6">
      <c r="B37">
        <v>710132</v>
      </c>
      <c r="C37" t="s">
        <v>1748</v>
      </c>
      <c r="D37" t="s">
        <v>1398</v>
      </c>
      <c r="E37" t="s">
        <v>1328</v>
      </c>
      <c r="F37" t="str">
        <f>CONCATENATE(SR_Lookup[[#This Row],[Account]]," - ",SR_Lookup[[#This Row],[Account Desc]])</f>
        <v>710132 - C&amp;G Leave Assessments</v>
      </c>
    </row>
    <row r="38" spans="2:6">
      <c r="B38">
        <v>710133</v>
      </c>
      <c r="C38" t="s">
        <v>1570</v>
      </c>
      <c r="D38" t="s">
        <v>1399</v>
      </c>
      <c r="E38" t="s">
        <v>1328</v>
      </c>
      <c r="F38" t="str">
        <f>CONCATENATE(SR_Lookup[[#This Row],[Account]]," - ",SR_Lookup[[#This Row],[Account Desc]])</f>
        <v>710133 - A&amp;P Overtime</v>
      </c>
    </row>
    <row r="39" spans="2:6">
      <c r="B39">
        <v>710135</v>
      </c>
      <c r="C39" t="s">
        <v>1856</v>
      </c>
      <c r="D39" t="s">
        <v>1399</v>
      </c>
      <c r="E39" t="s">
        <v>1328</v>
      </c>
      <c r="F39" t="str">
        <f>CONCATENATE(SR_Lookup[[#This Row],[Account]]," - ",SR_Lookup[[#This Row],[Account Desc]])</f>
        <v>710135 - A&amp;P Paid PaRental Leave</v>
      </c>
    </row>
    <row r="40" spans="2:6">
      <c r="B40">
        <v>710136</v>
      </c>
      <c r="C40" t="s">
        <v>74</v>
      </c>
      <c r="D40" t="s">
        <v>1399</v>
      </c>
      <c r="F40" t="str">
        <f>CONCATENATE(SR_Lookup[[#This Row],[Account]]," - ",SR_Lookup[[#This Row],[Account Desc]])</f>
        <v>710136 - Salaries &amp; Wages - Other</v>
      </c>
    </row>
    <row r="41" spans="2:6">
      <c r="B41">
        <v>710137</v>
      </c>
      <c r="C41" t="s">
        <v>75</v>
      </c>
      <c r="D41" t="s">
        <v>1399</v>
      </c>
      <c r="F41" t="str">
        <f>CONCATENATE(SR_Lookup[[#This Row],[Account]]," - ",SR_Lookup[[#This Row],[Account Desc]])</f>
        <v>710137 - Non-Recurring Salary Bonus</v>
      </c>
    </row>
    <row r="42" spans="2:6">
      <c r="B42">
        <v>710138</v>
      </c>
      <c r="C42" t="s">
        <v>76</v>
      </c>
      <c r="D42" t="s">
        <v>1841</v>
      </c>
      <c r="F42" t="str">
        <f>CONCATENATE(SR_Lookup[[#This Row],[Account]]," - ",SR_Lookup[[#This Row],[Account Desc]])</f>
        <v>710138 - Salary Expense Offset</v>
      </c>
    </row>
    <row r="43" spans="2:6">
      <c r="B43">
        <v>710139</v>
      </c>
      <c r="C43" t="s">
        <v>1857</v>
      </c>
      <c r="D43" t="s">
        <v>1399</v>
      </c>
      <c r="F43" t="str">
        <f>CONCATENATE(SR_Lookup[[#This Row],[Account]]," - ",SR_Lookup[[#This Row],[Account Desc]])</f>
        <v>710139 - USPS Paid PaRental Leave</v>
      </c>
    </row>
    <row r="44" spans="2:6">
      <c r="B44">
        <v>710141</v>
      </c>
      <c r="C44" t="s">
        <v>37</v>
      </c>
      <c r="D44" t="s">
        <v>1398</v>
      </c>
      <c r="F44" t="str">
        <f>CONCATENATE(SR_Lookup[[#This Row],[Account]]," - ",SR_Lookup[[#This Row],[Account Desc]])</f>
        <v>710141 - Salary Social Security Match</v>
      </c>
    </row>
    <row r="45" spans="2:6">
      <c r="B45">
        <v>710142</v>
      </c>
      <c r="C45" t="s">
        <v>38</v>
      </c>
      <c r="D45" t="s">
        <v>1398</v>
      </c>
      <c r="F45" t="str">
        <f>CONCATENATE(SR_Lookup[[#This Row],[Account]]," - ",SR_Lookup[[#This Row],[Account Desc]])</f>
        <v>710142 - Salary Medicare Match</v>
      </c>
    </row>
    <row r="46" spans="2:6">
      <c r="B46">
        <v>710151</v>
      </c>
      <c r="C46" t="s">
        <v>77</v>
      </c>
      <c r="D46" t="s">
        <v>1399</v>
      </c>
      <c r="F46" t="str">
        <f>CONCATENATE(SR_Lookup[[#This Row],[Account]]," - ",SR_Lookup[[#This Row],[Account Desc]])</f>
        <v>710151 - Teachers Retirement Matching</v>
      </c>
    </row>
    <row r="47" spans="2:6">
      <c r="B47">
        <v>710152</v>
      </c>
      <c r="C47" t="s">
        <v>39</v>
      </c>
      <c r="D47" t="s">
        <v>1399</v>
      </c>
      <c r="F47" t="str">
        <f>CONCATENATE(SR_Lookup[[#This Row],[Account]]," - ",SR_Lookup[[#This Row],[Account Desc]])</f>
        <v>710152 - Defined Benefit Retire Match</v>
      </c>
    </row>
    <row r="48" spans="2:6">
      <c r="B48">
        <v>710153</v>
      </c>
      <c r="C48" t="s">
        <v>40</v>
      </c>
      <c r="D48" t="s">
        <v>1399</v>
      </c>
      <c r="F48" t="str">
        <f>CONCATENATE(SR_Lookup[[#This Row],[Account]]," - ",SR_Lookup[[#This Row],[Account Desc]])</f>
        <v>710153 - ORP Defined Contrib Match</v>
      </c>
    </row>
    <row r="49" spans="2:6">
      <c r="B49">
        <v>710154</v>
      </c>
      <c r="C49" t="s">
        <v>41</v>
      </c>
      <c r="D49" t="s">
        <v>1399</v>
      </c>
      <c r="F49" t="str">
        <f>CONCATENATE(SR_Lookup[[#This Row],[Account]]," - ",SR_Lookup[[#This Row],[Account Desc]])</f>
        <v>710154 - PEORP Defined Contrib Match</v>
      </c>
    </row>
    <row r="50" spans="2:6">
      <c r="B50">
        <v>710155</v>
      </c>
      <c r="C50" t="s">
        <v>772</v>
      </c>
      <c r="D50" t="s">
        <v>1399</v>
      </c>
      <c r="F50" t="str">
        <f>CONCATENATE(SR_Lookup[[#This Row],[Account]]," - ",SR_Lookup[[#This Row],[Account Desc]])</f>
        <v>710155 - Additional Deferred Comp</v>
      </c>
    </row>
    <row r="51" spans="2:6">
      <c r="B51">
        <v>710161</v>
      </c>
      <c r="C51" t="s">
        <v>59</v>
      </c>
      <c r="D51" t="s">
        <v>1399</v>
      </c>
      <c r="F51" t="str">
        <f>CONCATENATE(SR_Lookup[[#This Row],[Account]]," - ",SR_Lookup[[#This Row],[Account Desc]])</f>
        <v>710161 - Pretax Admin Assessment</v>
      </c>
    </row>
    <row r="52" spans="2:6">
      <c r="B52">
        <v>710172</v>
      </c>
      <c r="C52" t="s">
        <v>42</v>
      </c>
      <c r="D52" t="s">
        <v>1399</v>
      </c>
      <c r="F52" t="str">
        <f>CONCATENATE(SR_Lookup[[#This Row],[Account]]," - ",SR_Lookup[[#This Row],[Account Desc]])</f>
        <v>710172 - Health Ins Employer Contrib</v>
      </c>
    </row>
    <row r="53" spans="2:6">
      <c r="B53">
        <v>710182</v>
      </c>
      <c r="C53" t="s">
        <v>1472</v>
      </c>
      <c r="D53" t="s">
        <v>1399</v>
      </c>
      <c r="F53" t="str">
        <f>CONCATENATE(SR_Lookup[[#This Row],[Account]]," - ",SR_Lookup[[#This Row],[Account Desc]])</f>
        <v>710182 - Life Insurance Contrib</v>
      </c>
    </row>
    <row r="54" spans="2:6">
      <c r="B54">
        <v>710191</v>
      </c>
      <c r="C54" t="s">
        <v>1571</v>
      </c>
      <c r="D54" t="s">
        <v>1399</v>
      </c>
      <c r="F54" t="str">
        <f>CONCATENATE(SR_Lookup[[#This Row],[Account]]," - ",SR_Lookup[[#This Row],[Account Desc]])</f>
        <v>710191 - Disability Ins Contrib</v>
      </c>
    </row>
    <row r="55" spans="2:6">
      <c r="B55">
        <v>710200</v>
      </c>
      <c r="C55" t="s">
        <v>1567</v>
      </c>
      <c r="D55" t="s">
        <v>1841</v>
      </c>
      <c r="F55" t="str">
        <f>CONCATENATE(SR_Lookup[[#This Row],[Account]]," - ",SR_Lookup[[#This Row],[Account Desc]])</f>
        <v>710200 - Budget Faculty</v>
      </c>
    </row>
    <row r="56" spans="2:6">
      <c r="B56">
        <v>710241</v>
      </c>
      <c r="C56" t="s">
        <v>1473</v>
      </c>
      <c r="D56" t="s">
        <v>1398</v>
      </c>
      <c r="F56" t="str">
        <f>CONCATENATE(SR_Lookup[[#This Row],[Account]]," - ",SR_Lookup[[#This Row],[Account Desc]])</f>
        <v>710241 - Social Security Match- Faculty</v>
      </c>
    </row>
    <row r="57" spans="2:6">
      <c r="B57">
        <v>710242</v>
      </c>
      <c r="C57" t="s">
        <v>1474</v>
      </c>
      <c r="D57" t="s">
        <v>1398</v>
      </c>
      <c r="F57" t="str">
        <f>CONCATENATE(SR_Lookup[[#This Row],[Account]]," - ",SR_Lookup[[#This Row],[Account Desc]])</f>
        <v>710242 - Medicare Match - Faculty</v>
      </c>
    </row>
    <row r="58" spans="2:6">
      <c r="B58">
        <v>710251</v>
      </c>
      <c r="C58" t="s">
        <v>1858</v>
      </c>
      <c r="D58" t="s">
        <v>1398</v>
      </c>
      <c r="F58" t="str">
        <f>CONCATENATE(SR_Lookup[[#This Row],[Account]]," - ",SR_Lookup[[#This Row],[Account Desc]])</f>
        <v>710251 - Tchrs Retire Match - Faculty</v>
      </c>
    </row>
    <row r="59" spans="2:6">
      <c r="B59">
        <v>710252</v>
      </c>
      <c r="C59" t="s">
        <v>1479</v>
      </c>
      <c r="D59" t="s">
        <v>1398</v>
      </c>
      <c r="F59" t="str">
        <f>CONCATENATE(SR_Lookup[[#This Row],[Account]]," - ",SR_Lookup[[#This Row],[Account Desc]])</f>
        <v>710252 - Def Ben Retire Match - Faculty</v>
      </c>
    </row>
    <row r="60" spans="2:6">
      <c r="B60">
        <v>710253</v>
      </c>
      <c r="C60" t="s">
        <v>1475</v>
      </c>
      <c r="D60" t="s">
        <v>1398</v>
      </c>
      <c r="F60" t="str">
        <f>CONCATENATE(SR_Lookup[[#This Row],[Account]]," - ",SR_Lookup[[#This Row],[Account Desc]])</f>
        <v>710253 - ORP Def Cont Match - Faculty</v>
      </c>
    </row>
    <row r="61" spans="2:6">
      <c r="B61">
        <v>710254</v>
      </c>
      <c r="C61" t="s">
        <v>1573</v>
      </c>
      <c r="D61" t="s">
        <v>1398</v>
      </c>
      <c r="F61" t="str">
        <f>CONCATENATE(SR_Lookup[[#This Row],[Account]]," - ",SR_Lookup[[#This Row],[Account Desc]])</f>
        <v>710254 - PEORP Def Cont Match - Faculty</v>
      </c>
    </row>
    <row r="62" spans="2:6">
      <c r="B62">
        <v>710255</v>
      </c>
      <c r="C62" t="s">
        <v>1859</v>
      </c>
      <c r="D62" t="s">
        <v>1398</v>
      </c>
      <c r="F62" t="str">
        <f>CONCATENATE(SR_Lookup[[#This Row],[Account]]," - ",SR_Lookup[[#This Row],[Account Desc]])</f>
        <v>710255 - Add'l Deferred Comp - Faculty</v>
      </c>
    </row>
    <row r="63" spans="2:6">
      <c r="B63">
        <v>710261</v>
      </c>
      <c r="C63" t="s">
        <v>1495</v>
      </c>
      <c r="D63" t="s">
        <v>1398</v>
      </c>
      <c r="E63" t="s">
        <v>1327</v>
      </c>
      <c r="F63" t="str">
        <f>CONCATENATE(SR_Lookup[[#This Row],[Account]]," - ",SR_Lookup[[#This Row],[Account Desc]])</f>
        <v>710261 - Pretax Admin Assess - Faculty</v>
      </c>
    </row>
    <row r="64" spans="2:6">
      <c r="B64">
        <v>710272</v>
      </c>
      <c r="C64" t="s">
        <v>1496</v>
      </c>
      <c r="D64" t="s">
        <v>1398</v>
      </c>
      <c r="F64" t="str">
        <f>CONCATENATE(SR_Lookup[[#This Row],[Account]]," - ",SR_Lookup[[#This Row],[Account Desc]])</f>
        <v>710272 - Health Ins Cont - Faculty</v>
      </c>
    </row>
    <row r="65" spans="2:6">
      <c r="B65">
        <v>710282</v>
      </c>
      <c r="C65" t="s">
        <v>1497</v>
      </c>
      <c r="D65" t="s">
        <v>1398</v>
      </c>
      <c r="E65" t="s">
        <v>1329</v>
      </c>
      <c r="F65" t="str">
        <f>CONCATENATE(SR_Lookup[[#This Row],[Account]]," - ",SR_Lookup[[#This Row],[Account Desc]])</f>
        <v>710282 - State Life Ins Cont - Faculty</v>
      </c>
    </row>
    <row r="66" spans="2:6">
      <c r="B66">
        <v>710291</v>
      </c>
      <c r="C66" t="s">
        <v>1574</v>
      </c>
      <c r="D66" t="s">
        <v>1398</v>
      </c>
      <c r="F66" t="str">
        <f>CONCATENATE(SR_Lookup[[#This Row],[Account]]," - ",SR_Lookup[[#This Row],[Account Desc]])</f>
        <v>710291 - State Disab Ins Cont - Faculty</v>
      </c>
    </row>
    <row r="67" spans="2:6">
      <c r="B67">
        <v>710299</v>
      </c>
      <c r="C67" t="s">
        <v>1572</v>
      </c>
      <c r="D67" t="s">
        <v>1841</v>
      </c>
      <c r="E67" t="s">
        <v>1329</v>
      </c>
      <c r="F67" t="str">
        <f>CONCATENATE(SR_Lookup[[#This Row],[Account]]," - ",SR_Lookup[[#This Row],[Account Desc]])</f>
        <v>710299 - Budget Faculty Benefits</v>
      </c>
    </row>
    <row r="68" spans="2:6">
      <c r="B68">
        <v>710300</v>
      </c>
      <c r="C68" t="s">
        <v>1826</v>
      </c>
      <c r="D68" t="s">
        <v>1841</v>
      </c>
      <c r="E68" t="s">
        <v>1329</v>
      </c>
      <c r="F68" t="str">
        <f>CONCATENATE(SR_Lookup[[#This Row],[Account]]," - ",SR_Lookup[[#This Row],[Account Desc]])</f>
        <v>710300 - Budget Staff</v>
      </c>
    </row>
    <row r="69" spans="2:6">
      <c r="B69">
        <v>710341</v>
      </c>
      <c r="C69" t="s">
        <v>1480</v>
      </c>
      <c r="D69" t="s">
        <v>1399</v>
      </c>
      <c r="E69" t="s">
        <v>1329</v>
      </c>
      <c r="F69" t="str">
        <f>CONCATENATE(SR_Lookup[[#This Row],[Account]]," - ",SR_Lookup[[#This Row],[Account Desc]])</f>
        <v>710341 - Social Security Match - A&amp;P</v>
      </c>
    </row>
    <row r="70" spans="2:6">
      <c r="B70">
        <v>710342</v>
      </c>
      <c r="C70" t="s">
        <v>1481</v>
      </c>
      <c r="D70" t="s">
        <v>1399</v>
      </c>
      <c r="F70" t="str">
        <f>CONCATENATE(SR_Lookup[[#This Row],[Account]]," - ",SR_Lookup[[#This Row],[Account Desc]])</f>
        <v>710342 - Medicare Match - A&amp;P</v>
      </c>
    </row>
    <row r="71" spans="2:6">
      <c r="B71">
        <v>710351</v>
      </c>
      <c r="C71" t="s">
        <v>1860</v>
      </c>
      <c r="D71" t="s">
        <v>1399</v>
      </c>
      <c r="F71" t="str">
        <f>CONCATENATE(SR_Lookup[[#This Row],[Account]]," - ",SR_Lookup[[#This Row],[Account Desc]])</f>
        <v>710351 - Tchrs Retire Match - A&amp;P</v>
      </c>
    </row>
    <row r="72" spans="2:6">
      <c r="B72">
        <v>710352</v>
      </c>
      <c r="C72" t="s">
        <v>1482</v>
      </c>
      <c r="D72" t="s">
        <v>1399</v>
      </c>
      <c r="E72" t="s">
        <v>1329</v>
      </c>
      <c r="F72" t="str">
        <f>CONCATENATE(SR_Lookup[[#This Row],[Account]]," - ",SR_Lookup[[#This Row],[Account Desc]])</f>
        <v>710352 - Def Ben Retire Match - A&amp;P</v>
      </c>
    </row>
    <row r="73" spans="2:6">
      <c r="B73">
        <v>710353</v>
      </c>
      <c r="C73" t="s">
        <v>1483</v>
      </c>
      <c r="D73" t="s">
        <v>1399</v>
      </c>
      <c r="E73" t="s">
        <v>1329</v>
      </c>
      <c r="F73" t="str">
        <f>CONCATENATE(SR_Lookup[[#This Row],[Account]]," - ",SR_Lookup[[#This Row],[Account Desc]])</f>
        <v>710353 - ORP Def Cont Match - A&amp;P</v>
      </c>
    </row>
    <row r="74" spans="2:6">
      <c r="B74">
        <v>710354</v>
      </c>
      <c r="C74" t="s">
        <v>1493</v>
      </c>
      <c r="D74" t="s">
        <v>1399</v>
      </c>
      <c r="F74" t="str">
        <f>CONCATENATE(SR_Lookup[[#This Row],[Account]]," - ",SR_Lookup[[#This Row],[Account Desc]])</f>
        <v>710354 - PEORP Def Cont Match - A&amp;P</v>
      </c>
    </row>
    <row r="75" spans="2:6">
      <c r="B75">
        <v>710355</v>
      </c>
      <c r="C75" t="s">
        <v>1575</v>
      </c>
      <c r="D75" t="s">
        <v>1399</v>
      </c>
      <c r="E75" t="s">
        <v>1329</v>
      </c>
      <c r="F75" t="str">
        <f>CONCATENATE(SR_Lookup[[#This Row],[Account]]," - ",SR_Lookup[[#This Row],[Account Desc]])</f>
        <v>710355 - Add'l Deferred Comp - A&amp;P</v>
      </c>
    </row>
    <row r="76" spans="2:6">
      <c r="B76">
        <v>710361</v>
      </c>
      <c r="C76" t="s">
        <v>1484</v>
      </c>
      <c r="D76" t="s">
        <v>1399</v>
      </c>
      <c r="E76" t="s">
        <v>1326</v>
      </c>
      <c r="F76" t="str">
        <f>CONCATENATE(SR_Lookup[[#This Row],[Account]]," - ",SR_Lookup[[#This Row],[Account Desc]])</f>
        <v>710361 - Pretax Admin Assess - A&amp;P</v>
      </c>
    </row>
    <row r="77" spans="2:6">
      <c r="B77">
        <v>710372</v>
      </c>
      <c r="C77" t="s">
        <v>1485</v>
      </c>
      <c r="D77" t="s">
        <v>1399</v>
      </c>
      <c r="E77" t="s">
        <v>1326</v>
      </c>
      <c r="F77" t="str">
        <f>CONCATENATE(SR_Lookup[[#This Row],[Account]]," - ",SR_Lookup[[#This Row],[Account Desc]])</f>
        <v>710372 - Health Ins Cont - A&amp;P</v>
      </c>
    </row>
    <row r="78" spans="2:6">
      <c r="B78">
        <v>710382</v>
      </c>
      <c r="C78" t="s">
        <v>1486</v>
      </c>
      <c r="D78" t="s">
        <v>1399</v>
      </c>
      <c r="E78" t="s">
        <v>1326</v>
      </c>
      <c r="F78" t="str">
        <f>CONCATENATE(SR_Lookup[[#This Row],[Account]]," - ",SR_Lookup[[#This Row],[Account Desc]])</f>
        <v>710382 - State Life Ins Cont - A&amp;P</v>
      </c>
    </row>
    <row r="79" spans="2:6">
      <c r="B79">
        <v>710391</v>
      </c>
      <c r="C79" t="s">
        <v>1576</v>
      </c>
      <c r="D79" t="s">
        <v>1399</v>
      </c>
      <c r="E79" t="s">
        <v>1328</v>
      </c>
      <c r="F79" t="str">
        <f>CONCATENATE(SR_Lookup[[#This Row],[Account]]," - ",SR_Lookup[[#This Row],[Account Desc]])</f>
        <v>710391 - State Disab Ins Cont - A&amp;P</v>
      </c>
    </row>
    <row r="80" spans="2:6">
      <c r="B80">
        <v>710399</v>
      </c>
      <c r="C80" t="s">
        <v>1827</v>
      </c>
      <c r="D80" t="s">
        <v>1841</v>
      </c>
      <c r="F80" t="str">
        <f>CONCATENATE(SR_Lookup[[#This Row],[Account]]," - ",SR_Lookup[[#This Row],[Account Desc]])</f>
        <v>710399 - Budget Staff Benefits</v>
      </c>
    </row>
    <row r="81" spans="2:6">
      <c r="B81">
        <v>710400</v>
      </c>
      <c r="C81" t="s">
        <v>1861</v>
      </c>
      <c r="D81" t="s">
        <v>1841</v>
      </c>
      <c r="F81" t="str">
        <f>CONCATENATE(SR_Lookup[[#This Row],[Account]]," - ",SR_Lookup[[#This Row],[Account Desc]])</f>
        <v>710400 - Budget USPS</v>
      </c>
    </row>
    <row r="82" spans="2:6">
      <c r="B82">
        <v>710441</v>
      </c>
      <c r="C82" t="s">
        <v>1476</v>
      </c>
      <c r="D82" t="s">
        <v>1399</v>
      </c>
      <c r="E82" t="s">
        <v>1328</v>
      </c>
      <c r="F82" t="str">
        <f>CONCATENATE(SR_Lookup[[#This Row],[Account]]," - ",SR_Lookup[[#This Row],[Account Desc]])</f>
        <v>710441 - Social Security Match - USPS</v>
      </c>
    </row>
    <row r="83" spans="2:6">
      <c r="B83">
        <v>710442</v>
      </c>
      <c r="C83" t="s">
        <v>1477</v>
      </c>
      <c r="D83" t="s">
        <v>1399</v>
      </c>
      <c r="E83" t="s">
        <v>1328</v>
      </c>
      <c r="F83" t="str">
        <f>CONCATENATE(SR_Lookup[[#This Row],[Account]]," - ",SR_Lookup[[#This Row],[Account Desc]])</f>
        <v>710442 - Medicare Match - USPS</v>
      </c>
    </row>
    <row r="84" spans="2:6">
      <c r="B84">
        <v>710451</v>
      </c>
      <c r="C84" t="s">
        <v>1577</v>
      </c>
      <c r="D84" t="s">
        <v>1399</v>
      </c>
      <c r="E84" t="s">
        <v>1328</v>
      </c>
      <c r="F84" t="str">
        <f>CONCATENATE(SR_Lookup[[#This Row],[Account]]," - ",SR_Lookup[[#This Row],[Account Desc]])</f>
        <v>710451 - Tchrs Retire Match - USPS</v>
      </c>
    </row>
    <row r="85" spans="2:6">
      <c r="B85">
        <v>710452</v>
      </c>
      <c r="C85" t="s">
        <v>1487</v>
      </c>
      <c r="D85" t="s">
        <v>1399</v>
      </c>
      <c r="F85" t="str">
        <f>CONCATENATE(SR_Lookup[[#This Row],[Account]]," - ",SR_Lookup[[#This Row],[Account Desc]])</f>
        <v>710452 - Def Ben Retire Match - USPS</v>
      </c>
    </row>
    <row r="86" spans="2:6">
      <c r="B86">
        <v>710453</v>
      </c>
      <c r="C86" t="s">
        <v>1578</v>
      </c>
      <c r="D86" t="s">
        <v>1399</v>
      </c>
      <c r="E86" t="s">
        <v>1328</v>
      </c>
      <c r="F86" t="str">
        <f>CONCATENATE(SR_Lookup[[#This Row],[Account]]," - ",SR_Lookup[[#This Row],[Account Desc]])</f>
        <v>710453 - ORP Def Cont Match - USPS</v>
      </c>
    </row>
    <row r="87" spans="2:6">
      <c r="B87">
        <v>710454</v>
      </c>
      <c r="C87" t="s">
        <v>1478</v>
      </c>
      <c r="D87" t="s">
        <v>1399</v>
      </c>
      <c r="F87" t="str">
        <f>CONCATENATE(SR_Lookup[[#This Row],[Account]]," - ",SR_Lookup[[#This Row],[Account Desc]])</f>
        <v>710454 - PEORP Def Cont Match - USPS</v>
      </c>
    </row>
    <row r="88" spans="2:6">
      <c r="B88">
        <v>710455</v>
      </c>
      <c r="C88" t="s">
        <v>1579</v>
      </c>
      <c r="D88" t="s">
        <v>1399</v>
      </c>
      <c r="E88" t="s">
        <v>1328</v>
      </c>
      <c r="F88" t="str">
        <f>CONCATENATE(SR_Lookup[[#This Row],[Account]]," - ",SR_Lookup[[#This Row],[Account Desc]])</f>
        <v>710455 - Add'l Deferred Comp - USPS</v>
      </c>
    </row>
    <row r="89" spans="2:6">
      <c r="B89">
        <v>710461</v>
      </c>
      <c r="C89" t="s">
        <v>1488</v>
      </c>
      <c r="D89" t="s">
        <v>1399</v>
      </c>
      <c r="E89" t="s">
        <v>1329</v>
      </c>
      <c r="F89" t="str">
        <f>CONCATENATE(SR_Lookup[[#This Row],[Account]]," - ",SR_Lookup[[#This Row],[Account Desc]])</f>
        <v>710461 - Pretax Admin Assess - USPS</v>
      </c>
    </row>
    <row r="90" spans="2:6">
      <c r="B90">
        <v>710472</v>
      </c>
      <c r="C90" t="s">
        <v>1489</v>
      </c>
      <c r="D90" t="s">
        <v>1399</v>
      </c>
      <c r="E90" t="s">
        <v>1326</v>
      </c>
      <c r="F90" t="str">
        <f>CONCATENATE(SR_Lookup[[#This Row],[Account]]," - ",SR_Lookup[[#This Row],[Account Desc]])</f>
        <v>710472 - Health Ins Cont - USPS</v>
      </c>
    </row>
    <row r="91" spans="2:6">
      <c r="B91">
        <v>710482</v>
      </c>
      <c r="C91" t="s">
        <v>1490</v>
      </c>
      <c r="D91" t="s">
        <v>1399</v>
      </c>
      <c r="E91" t="s">
        <v>1327</v>
      </c>
      <c r="F91" t="str">
        <f>CONCATENATE(SR_Lookup[[#This Row],[Account]]," - ",SR_Lookup[[#This Row],[Account Desc]])</f>
        <v>710482 - State Life Ins Cont - USPS</v>
      </c>
    </row>
    <row r="92" spans="2:6">
      <c r="B92">
        <v>710491</v>
      </c>
      <c r="C92" t="s">
        <v>1580</v>
      </c>
      <c r="D92" t="s">
        <v>1399</v>
      </c>
      <c r="E92" t="s">
        <v>1328</v>
      </c>
      <c r="F92" t="str">
        <f>CONCATENATE(SR_Lookup[[#This Row],[Account]]," - ",SR_Lookup[[#This Row],[Account Desc]])</f>
        <v>710491 - State Disab Ins Cont - USPS</v>
      </c>
    </row>
    <row r="93" spans="2:6">
      <c r="B93">
        <v>710499</v>
      </c>
      <c r="C93" t="s">
        <v>1862</v>
      </c>
      <c r="D93" t="s">
        <v>1841</v>
      </c>
      <c r="E93" t="s">
        <v>1326</v>
      </c>
      <c r="F93" t="str">
        <f>CONCATENATE(SR_Lookup[[#This Row],[Account]]," - ",SR_Lookup[[#This Row],[Account Desc]])</f>
        <v>710499 - Budget USPS Benefits</v>
      </c>
    </row>
    <row r="94" spans="2:6">
      <c r="B94">
        <v>710511</v>
      </c>
      <c r="C94" t="s">
        <v>1751</v>
      </c>
      <c r="D94" t="s">
        <v>1398</v>
      </c>
      <c r="E94" t="s">
        <v>1326</v>
      </c>
      <c r="F94" t="str">
        <f>CONCATENATE(SR_Lookup[[#This Row],[Account]]," - ",SR_Lookup[[#This Row],[Account Desc]])</f>
        <v>710511 - Benefits Faculty</v>
      </c>
    </row>
    <row r="95" spans="2:6">
      <c r="B95">
        <v>710512</v>
      </c>
      <c r="C95" t="s">
        <v>1752</v>
      </c>
      <c r="D95" t="s">
        <v>1398</v>
      </c>
      <c r="E95" t="s">
        <v>1326</v>
      </c>
      <c r="F95" t="str">
        <f>CONCATENATE(SR_Lookup[[#This Row],[Account]]," - ",SR_Lookup[[#This Row],[Account Desc]])</f>
        <v>710512 - Benefits Clinical Faculty</v>
      </c>
    </row>
    <row r="96" spans="2:6">
      <c r="B96">
        <v>710513</v>
      </c>
      <c r="C96" t="s">
        <v>1753</v>
      </c>
      <c r="D96" t="s">
        <v>1398</v>
      </c>
      <c r="E96" t="s">
        <v>1326</v>
      </c>
      <c r="F96" t="str">
        <f>CONCATENATE(SR_Lookup[[#This Row],[Account]]," - ",SR_Lookup[[#This Row],[Account Desc]])</f>
        <v>710513 - Benefits Charter Sch Faculty</v>
      </c>
    </row>
    <row r="97" spans="2:6">
      <c r="B97">
        <v>710518</v>
      </c>
      <c r="C97" t="s">
        <v>1754</v>
      </c>
      <c r="D97" t="s">
        <v>1398</v>
      </c>
      <c r="E97" t="s">
        <v>1326</v>
      </c>
      <c r="F97" t="str">
        <f>CONCATENATE(SR_Lookup[[#This Row],[Account]]," - ",SR_Lookup[[#This Row],[Account Desc]])</f>
        <v>710518 - Benefits Faculty Bonus-1x</v>
      </c>
    </row>
    <row r="98" spans="2:6">
      <c r="B98">
        <v>710519</v>
      </c>
      <c r="C98" t="s">
        <v>1755</v>
      </c>
      <c r="D98" t="s">
        <v>1398</v>
      </c>
      <c r="E98" t="s">
        <v>1326</v>
      </c>
      <c r="F98" t="str">
        <f>CONCATENATE(SR_Lookup[[#This Row],[Account]]," - ",SR_Lookup[[#This Row],[Account Desc]])</f>
        <v>710519 - Benefits Faculty Suppl</v>
      </c>
    </row>
    <row r="99" spans="2:6">
      <c r="B99">
        <v>710521</v>
      </c>
      <c r="C99" t="s">
        <v>1863</v>
      </c>
      <c r="D99" t="s">
        <v>1398</v>
      </c>
      <c r="E99" t="s">
        <v>1326</v>
      </c>
      <c r="F99" t="str">
        <f>CONCATENATE(SR_Lookup[[#This Row],[Account]]," - ",SR_Lookup[[#This Row],[Account Desc]])</f>
        <v>710521 - Benefits Executive Service</v>
      </c>
    </row>
    <row r="100" spans="2:6">
      <c r="B100">
        <v>710522</v>
      </c>
      <c r="C100" t="s">
        <v>1757</v>
      </c>
      <c r="D100" t="s">
        <v>1399</v>
      </c>
      <c r="E100" t="s">
        <v>1326</v>
      </c>
      <c r="F100" t="str">
        <f>CONCATENATE(SR_Lookup[[#This Row],[Account]]," - ",SR_Lookup[[#This Row],[Account Desc]])</f>
        <v>710522 - Benefits Admin &amp; Professional</v>
      </c>
    </row>
    <row r="101" spans="2:6">
      <c r="B101">
        <v>710523</v>
      </c>
      <c r="C101" t="s">
        <v>1864</v>
      </c>
      <c r="D101" t="s">
        <v>1399</v>
      </c>
      <c r="E101" t="s">
        <v>1330</v>
      </c>
      <c r="F101" t="str">
        <f>CONCATENATE(SR_Lookup[[#This Row],[Account]]," - ",SR_Lookup[[#This Row],[Account Desc]])</f>
        <v>710523 - Benefits Athletic Coaches</v>
      </c>
    </row>
    <row r="102" spans="2:6">
      <c r="B102">
        <v>710524</v>
      </c>
      <c r="C102" t="s">
        <v>1759</v>
      </c>
      <c r="D102" t="s">
        <v>1399</v>
      </c>
      <c r="E102" t="s">
        <v>1326</v>
      </c>
      <c r="F102" t="str">
        <f>CONCATENATE(SR_Lookup[[#This Row],[Account]]," - ",SR_Lookup[[#This Row],[Account Desc]])</f>
        <v>710524 - Benefits USPS</v>
      </c>
    </row>
    <row r="103" spans="2:6">
      <c r="B103">
        <v>710528</v>
      </c>
      <c r="C103" t="s">
        <v>1760</v>
      </c>
      <c r="D103" t="s">
        <v>1399</v>
      </c>
      <c r="E103" t="s">
        <v>1326</v>
      </c>
      <c r="F103" t="str">
        <f>CONCATENATE(SR_Lookup[[#This Row],[Account]]," - ",SR_Lookup[[#This Row],[Account Desc]])</f>
        <v>710528 - Benefits Staff Bonus-1x</v>
      </c>
    </row>
    <row r="104" spans="2:6">
      <c r="B104">
        <v>710529</v>
      </c>
      <c r="C104" t="s">
        <v>1761</v>
      </c>
      <c r="D104" t="s">
        <v>1399</v>
      </c>
      <c r="E104" t="s">
        <v>1326</v>
      </c>
      <c r="F104" t="str">
        <f>CONCATENATE(SR_Lookup[[#This Row],[Account]]," - ",SR_Lookup[[#This Row],[Account Desc]])</f>
        <v>710529 - Benefits Staff OT-Suppl</v>
      </c>
    </row>
    <row r="105" spans="2:6">
      <c r="B105">
        <v>710900</v>
      </c>
      <c r="C105" t="s">
        <v>1569</v>
      </c>
      <c r="D105" t="s">
        <v>1841</v>
      </c>
      <c r="E105" t="s">
        <v>1326</v>
      </c>
      <c r="F105" t="str">
        <f>CONCATENATE(SR_Lookup[[#This Row],[Account]]," - ",SR_Lookup[[#This Row],[Account Desc]])</f>
        <v>710900 - Budget Other Salary</v>
      </c>
    </row>
    <row r="106" spans="2:6">
      <c r="B106">
        <v>710901</v>
      </c>
      <c r="C106" t="s">
        <v>1581</v>
      </c>
      <c r="D106" t="s">
        <v>1399</v>
      </c>
      <c r="E106" t="s">
        <v>1326</v>
      </c>
      <c r="F106" t="str">
        <f>CONCATENATE(SR_Lookup[[#This Row],[Account]]," - ",SR_Lookup[[#This Row],[Account Desc]])</f>
        <v>710901 - Salary Reimb-USPS Overtime</v>
      </c>
    </row>
    <row r="107" spans="2:6">
      <c r="B107">
        <v>710902</v>
      </c>
      <c r="C107" t="s">
        <v>1865</v>
      </c>
      <c r="D107" t="s">
        <v>1399</v>
      </c>
      <c r="E107" t="s">
        <v>1326</v>
      </c>
      <c r="F107" t="str">
        <f>CONCATENATE(SR_Lookup[[#This Row],[Account]]," - ",SR_Lookup[[#This Row],[Account Desc]])</f>
        <v>710902 - Salary Reimb-USPS Base Salary</v>
      </c>
    </row>
    <row r="108" spans="2:6">
      <c r="B108">
        <v>710903</v>
      </c>
      <c r="C108" t="s">
        <v>1866</v>
      </c>
      <c r="D108" t="s">
        <v>1399</v>
      </c>
      <c r="E108" t="s">
        <v>1326</v>
      </c>
      <c r="F108" t="str">
        <f>CONCATENATE(SR_Lookup[[#This Row],[Account]]," - ",SR_Lookup[[#This Row],[Account Desc]])</f>
        <v>710903 - Salary Reimb-USPS Benefits</v>
      </c>
    </row>
    <row r="109" spans="2:6">
      <c r="B109">
        <v>710904</v>
      </c>
      <c r="C109" t="s">
        <v>1867</v>
      </c>
      <c r="D109" t="s">
        <v>1399</v>
      </c>
      <c r="E109" t="s">
        <v>1326</v>
      </c>
      <c r="F109" t="str">
        <f>CONCATENATE(SR_Lookup[[#This Row],[Account]]," - ",SR_Lookup[[#This Row],[Account Desc]])</f>
        <v>710904 - Salary Reimb-A&amp;P Overtime</v>
      </c>
    </row>
    <row r="110" spans="2:6">
      <c r="B110">
        <v>710905</v>
      </c>
      <c r="C110" t="s">
        <v>1868</v>
      </c>
      <c r="D110" t="s">
        <v>1399</v>
      </c>
      <c r="E110" t="s">
        <v>1326</v>
      </c>
      <c r="F110" t="str">
        <f>CONCATENATE(SR_Lookup[[#This Row],[Account]]," - ",SR_Lookup[[#This Row],[Account Desc]])</f>
        <v>710905 - Salary Reimb-A&amp;P Base Salary</v>
      </c>
    </row>
    <row r="111" spans="2:6">
      <c r="B111">
        <v>710906</v>
      </c>
      <c r="C111" t="s">
        <v>1869</v>
      </c>
      <c r="D111" t="s">
        <v>1399</v>
      </c>
      <c r="E111" t="s">
        <v>1326</v>
      </c>
      <c r="F111" t="str">
        <f>CONCATENATE(SR_Lookup[[#This Row],[Account]]," - ",SR_Lookup[[#This Row],[Account Desc]])</f>
        <v>710906 - Salary Reimb-A&amp;P Benefits</v>
      </c>
    </row>
    <row r="112" spans="2:6">
      <c r="B112">
        <v>710911</v>
      </c>
      <c r="C112" t="s">
        <v>1582</v>
      </c>
      <c r="D112" t="s">
        <v>1398</v>
      </c>
      <c r="E112" t="s">
        <v>1328</v>
      </c>
      <c r="F112" t="str">
        <f>CONCATENATE(SR_Lookup[[#This Row],[Account]]," - ",SR_Lookup[[#This Row],[Account Desc]])</f>
        <v>710911 - Unallow Exp C&amp;G Fac Wages</v>
      </c>
    </row>
    <row r="113" spans="2:6">
      <c r="B113">
        <v>710912</v>
      </c>
      <c r="C113" t="s">
        <v>1583</v>
      </c>
      <c r="D113" t="s">
        <v>1398</v>
      </c>
      <c r="E113" t="s">
        <v>1331</v>
      </c>
      <c r="F113" t="str">
        <f>CONCATENATE(SR_Lookup[[#This Row],[Account]]," - ",SR_Lookup[[#This Row],[Account Desc]])</f>
        <v>710912 - Unallow Exp C&amp;G Fac Benefits</v>
      </c>
    </row>
    <row r="114" spans="2:6">
      <c r="B114">
        <v>710999</v>
      </c>
      <c r="C114" t="s">
        <v>79</v>
      </c>
      <c r="D114" t="s">
        <v>1841</v>
      </c>
      <c r="E114" t="s">
        <v>1331</v>
      </c>
      <c r="F114" t="str">
        <f>CONCATENATE(SR_Lookup[[#This Row],[Account]]," - ",SR_Lookup[[#This Row],[Account Desc]])</f>
        <v>710999 - Salary Payroll Suspense</v>
      </c>
    </row>
    <row r="115" spans="2:6">
      <c r="B115">
        <v>711180</v>
      </c>
      <c r="C115" t="s">
        <v>1584</v>
      </c>
      <c r="D115" t="s">
        <v>1399</v>
      </c>
      <c r="E115" t="s">
        <v>1331</v>
      </c>
      <c r="F115" t="str">
        <f>CONCATENATE(SR_Lookup[[#This Row],[Account]]," - ",SR_Lookup[[#This Row],[Account Desc]])</f>
        <v>711180 - Pension Expense</v>
      </c>
    </row>
    <row r="116" spans="2:6">
      <c r="B116">
        <v>711190</v>
      </c>
      <c r="C116" t="s">
        <v>1762</v>
      </c>
      <c r="D116" t="s">
        <v>1399</v>
      </c>
      <c r="E116" t="s">
        <v>1326</v>
      </c>
      <c r="F116" t="str">
        <f>CONCATENATE(SR_Lookup[[#This Row],[Account]]," - ",SR_Lookup[[#This Row],[Account Desc]])</f>
        <v>711190 - OPEB Expense</v>
      </c>
    </row>
    <row r="117" spans="2:6">
      <c r="B117">
        <v>720000</v>
      </c>
      <c r="C117" t="s">
        <v>80</v>
      </c>
      <c r="D117" t="s">
        <v>1841</v>
      </c>
      <c r="E117" t="s">
        <v>1326</v>
      </c>
      <c r="F117" t="str">
        <f>CONCATENATE(SR_Lookup[[#This Row],[Account]]," - ",SR_Lookup[[#This Row],[Account Desc]])</f>
        <v>720000 - Budget OPS</v>
      </c>
    </row>
    <row r="118" spans="2:6">
      <c r="B118">
        <v>720001</v>
      </c>
      <c r="C118" t="s">
        <v>1585</v>
      </c>
      <c r="D118" t="s">
        <v>1841</v>
      </c>
      <c r="E118" t="s">
        <v>1331</v>
      </c>
      <c r="F118" t="str">
        <f>CONCATENATE(SR_Lookup[[#This Row],[Account]]," - ",SR_Lookup[[#This Row],[Account Desc]])</f>
        <v>720001 - Budget OPS-Graduate Assistants</v>
      </c>
    </row>
    <row r="119" spans="2:6">
      <c r="B119">
        <v>720002</v>
      </c>
      <c r="C119" t="s">
        <v>1586</v>
      </c>
      <c r="D119" t="s">
        <v>1841</v>
      </c>
      <c r="E119" t="s">
        <v>1331</v>
      </c>
      <c r="F119" t="str">
        <f>CONCATENATE(SR_Lookup[[#This Row],[Account]]," - ",SR_Lookup[[#This Row],[Account Desc]])</f>
        <v>720002 - Budget OPS-Post Doc Associates</v>
      </c>
    </row>
    <row r="120" spans="2:6">
      <c r="B120">
        <v>720003</v>
      </c>
      <c r="C120" t="s">
        <v>1587</v>
      </c>
      <c r="D120" t="s">
        <v>1841</v>
      </c>
      <c r="E120" t="s">
        <v>1331</v>
      </c>
      <c r="F120" t="str">
        <f>CONCATENATE(SR_Lookup[[#This Row],[Account]]," - ",SR_Lookup[[#This Row],[Account Desc]])</f>
        <v>720003 - Budget OPS-OPS Faculty</v>
      </c>
    </row>
    <row r="121" spans="2:6">
      <c r="B121">
        <v>720004</v>
      </c>
      <c r="C121" t="s">
        <v>1588</v>
      </c>
      <c r="D121" t="s">
        <v>1841</v>
      </c>
      <c r="E121" t="s">
        <v>1331</v>
      </c>
      <c r="F121" t="str">
        <f>CONCATENATE(SR_Lookup[[#This Row],[Account]]," - ",SR_Lookup[[#This Row],[Account Desc]])</f>
        <v>720004 - Budget OPS-Temporary Employmnt</v>
      </c>
    </row>
    <row r="122" spans="2:6">
      <c r="B122">
        <v>720005</v>
      </c>
      <c r="C122" t="s">
        <v>1590</v>
      </c>
      <c r="D122" t="s">
        <v>1841</v>
      </c>
      <c r="E122" t="s">
        <v>1331</v>
      </c>
      <c r="F122" t="str">
        <f>CONCATENATE(SR_Lookup[[#This Row],[Account]]," - ",SR_Lookup[[#This Row],[Account Desc]])</f>
        <v>720005 - Budget OPS-Student Employment</v>
      </c>
    </row>
    <row r="123" spans="2:6">
      <c r="B123">
        <v>720006</v>
      </c>
      <c r="C123" t="s">
        <v>1591</v>
      </c>
      <c r="D123" t="s">
        <v>1841</v>
      </c>
      <c r="E123" t="s">
        <v>1331</v>
      </c>
      <c r="F123" t="str">
        <f>CONCATENATE(SR_Lookup[[#This Row],[Account]]," - ",SR_Lookup[[#This Row],[Account Desc]])</f>
        <v>720006 - Budget OPS-OPS Fringe Benefits</v>
      </c>
    </row>
    <row r="124" spans="2:6">
      <c r="B124">
        <v>720007</v>
      </c>
      <c r="C124" t="s">
        <v>1589</v>
      </c>
      <c r="D124" t="s">
        <v>1841</v>
      </c>
      <c r="E124" t="s">
        <v>1326</v>
      </c>
      <c r="F124" t="str">
        <f>CONCATENATE(SR_Lookup[[#This Row],[Account]]," - ",SR_Lookup[[#This Row],[Account Desc]])</f>
        <v>720007 - Budget OPS-Other OPS</v>
      </c>
    </row>
    <row r="125" spans="2:6">
      <c r="B125">
        <v>720101</v>
      </c>
      <c r="C125" t="s">
        <v>1763</v>
      </c>
      <c r="D125" t="s">
        <v>1399</v>
      </c>
      <c r="E125" t="s">
        <v>1331</v>
      </c>
      <c r="F125" t="str">
        <f>CONCATENATE(SR_Lookup[[#This Row],[Account]]," - ",SR_Lookup[[#This Row],[Account Desc]])</f>
        <v>720101 - Wage Graduate Assistants</v>
      </c>
    </row>
    <row r="126" spans="2:6">
      <c r="B126">
        <v>720102</v>
      </c>
      <c r="C126" t="s">
        <v>1764</v>
      </c>
      <c r="D126" t="s">
        <v>1399</v>
      </c>
      <c r="E126" t="s">
        <v>1331</v>
      </c>
      <c r="F126" t="str">
        <f>CONCATENATE(SR_Lookup[[#This Row],[Account]]," - ",SR_Lookup[[#This Row],[Account Desc]])</f>
        <v>720102 - Wage Post Doctorial Assoc</v>
      </c>
    </row>
    <row r="127" spans="2:6">
      <c r="B127">
        <v>720103</v>
      </c>
      <c r="C127" t="s">
        <v>1765</v>
      </c>
      <c r="D127" t="s">
        <v>1399</v>
      </c>
      <c r="E127" t="s">
        <v>1331</v>
      </c>
      <c r="F127" t="str">
        <f>CONCATENATE(SR_Lookup[[#This Row],[Account]]," - ",SR_Lookup[[#This Row],[Account Desc]])</f>
        <v>720103 - Wage Student Employment</v>
      </c>
    </row>
    <row r="128" spans="2:6">
      <c r="B128">
        <v>720104</v>
      </c>
      <c r="C128" t="s">
        <v>1766</v>
      </c>
      <c r="D128" t="s">
        <v>1399</v>
      </c>
      <c r="E128" t="s">
        <v>1331</v>
      </c>
      <c r="F128" t="str">
        <f>CONCATENATE(SR_Lookup[[#This Row],[Account]]," - ",SR_Lookup[[#This Row],[Account Desc]])</f>
        <v>720104 - Wage OPS and Temp</v>
      </c>
    </row>
    <row r="129" spans="2:6">
      <c r="B129">
        <v>720108</v>
      </c>
      <c r="C129" t="s">
        <v>1767</v>
      </c>
      <c r="D129" t="s">
        <v>1399</v>
      </c>
      <c r="E129" t="s">
        <v>1331</v>
      </c>
      <c r="F129" t="str">
        <f>CONCATENATE(SR_Lookup[[#This Row],[Account]]," - ",SR_Lookup[[#This Row],[Account Desc]])</f>
        <v>720108 - Wage Nonrecur OPS Bonus-1x</v>
      </c>
    </row>
    <row r="130" spans="2:6">
      <c r="B130">
        <v>720109</v>
      </c>
      <c r="C130" t="s">
        <v>1768</v>
      </c>
      <c r="D130" t="s">
        <v>1399</v>
      </c>
      <c r="E130" t="s">
        <v>1326</v>
      </c>
      <c r="F130" t="str">
        <f>CONCATENATE(SR_Lookup[[#This Row],[Account]]," - ",SR_Lookup[[#This Row],[Account Desc]])</f>
        <v>720109 - Wage Nonrecur OPS OT-Suppl</v>
      </c>
    </row>
    <row r="131" spans="2:6">
      <c r="B131">
        <v>720111</v>
      </c>
      <c r="C131" t="s">
        <v>81</v>
      </c>
      <c r="D131" t="s">
        <v>1399</v>
      </c>
      <c r="E131" t="s">
        <v>1333</v>
      </c>
      <c r="F131" t="str">
        <f>CONCATENATE(SR_Lookup[[#This Row],[Account]]," - ",SR_Lookup[[#This Row],[Account Desc]])</f>
        <v>720111 - Graduate Assistants</v>
      </c>
    </row>
    <row r="132" spans="2:6">
      <c r="B132">
        <v>720112</v>
      </c>
      <c r="C132" t="s">
        <v>82</v>
      </c>
      <c r="D132" t="s">
        <v>1399</v>
      </c>
      <c r="E132" t="s">
        <v>1331</v>
      </c>
      <c r="F132" t="str">
        <f>CONCATENATE(SR_Lookup[[#This Row],[Account]]," - ",SR_Lookup[[#This Row],[Account Desc]])</f>
        <v>720112 - Post Doctoral Associates</v>
      </c>
    </row>
    <row r="133" spans="2:6">
      <c r="B133">
        <v>720113</v>
      </c>
      <c r="C133" t="s">
        <v>83</v>
      </c>
      <c r="D133" t="s">
        <v>1399</v>
      </c>
      <c r="E133" t="s">
        <v>1331</v>
      </c>
      <c r="F133" t="str">
        <f>CONCATENATE(SR_Lookup[[#This Row],[Account]]," - ",SR_Lookup[[#This Row],[Account Desc]])</f>
        <v>720113 - Adjunct Faculty</v>
      </c>
    </row>
    <row r="134" spans="2:6">
      <c r="B134">
        <v>720115</v>
      </c>
      <c r="C134" t="s">
        <v>84</v>
      </c>
      <c r="D134" t="s">
        <v>1399</v>
      </c>
      <c r="E134" t="s">
        <v>1331</v>
      </c>
      <c r="F134" t="str">
        <f>CONCATENATE(SR_Lookup[[#This Row],[Account]]," - ",SR_Lookup[[#This Row],[Account Desc]])</f>
        <v>720115 - OPS Faculty</v>
      </c>
    </row>
    <row r="135" spans="2:6">
      <c r="B135">
        <v>720121</v>
      </c>
      <c r="C135" t="s">
        <v>85</v>
      </c>
      <c r="D135" t="s">
        <v>1399</v>
      </c>
      <c r="E135" t="s">
        <v>1331</v>
      </c>
      <c r="F135" t="str">
        <f>CONCATENATE(SR_Lookup[[#This Row],[Account]]," - ",SR_Lookup[[#This Row],[Account Desc]])</f>
        <v>720121 - Temporary Employment</v>
      </c>
    </row>
    <row r="136" spans="2:6">
      <c r="B136">
        <v>720122</v>
      </c>
      <c r="C136" t="s">
        <v>86</v>
      </c>
      <c r="D136" t="s">
        <v>1399</v>
      </c>
      <c r="E136" t="s">
        <v>1331</v>
      </c>
      <c r="F136" t="str">
        <f>CONCATENATE(SR_Lookup[[#This Row],[Account]]," - ",SR_Lookup[[#This Row],[Account Desc]])</f>
        <v>720122 - OPS Overtime</v>
      </c>
    </row>
    <row r="137" spans="2:6">
      <c r="B137">
        <v>720123</v>
      </c>
      <c r="C137" t="s">
        <v>87</v>
      </c>
      <c r="D137" t="s">
        <v>1399</v>
      </c>
      <c r="E137" t="s">
        <v>1331</v>
      </c>
      <c r="F137" t="str">
        <f>CONCATENATE(SR_Lookup[[#This Row],[Account]]," - ",SR_Lookup[[#This Row],[Account Desc]])</f>
        <v>720123 - Student Employment</v>
      </c>
    </row>
    <row r="138" spans="2:6">
      <c r="B138">
        <v>720124</v>
      </c>
      <c r="C138" t="s">
        <v>88</v>
      </c>
      <c r="D138" t="s">
        <v>1399</v>
      </c>
      <c r="E138" t="s">
        <v>1331</v>
      </c>
      <c r="F138" t="str">
        <f>CONCATENATE(SR_Lookup[[#This Row],[Account]]," - ",SR_Lookup[[#This Row],[Account Desc]])</f>
        <v>720124 - Ath Ticket Staff OPS Salary</v>
      </c>
    </row>
    <row r="139" spans="2:6">
      <c r="B139">
        <v>720125</v>
      </c>
      <c r="C139" t="s">
        <v>89</v>
      </c>
      <c r="D139" t="s">
        <v>1399</v>
      </c>
      <c r="E139" t="s">
        <v>1331</v>
      </c>
      <c r="F139" t="str">
        <f>CONCATENATE(SR_Lookup[[#This Row],[Account]]," - ",SR_Lookup[[#This Row],[Account Desc]])</f>
        <v>720125 - Ath Event Staff OPS Salary</v>
      </c>
    </row>
    <row r="140" spans="2:6">
      <c r="B140">
        <v>720126</v>
      </c>
      <c r="C140" t="s">
        <v>90</v>
      </c>
      <c r="D140" t="s">
        <v>1399</v>
      </c>
      <c r="E140" t="s">
        <v>1326</v>
      </c>
      <c r="F140" t="str">
        <f>CONCATENATE(SR_Lookup[[#This Row],[Account]]," - ",SR_Lookup[[#This Row],[Account Desc]])</f>
        <v>720126 - Ath Coach Staff OPS Salary</v>
      </c>
    </row>
    <row r="141" spans="2:6">
      <c r="B141">
        <v>720141</v>
      </c>
      <c r="C141" t="s">
        <v>91</v>
      </c>
      <c r="D141" t="s">
        <v>1399</v>
      </c>
      <c r="E141" t="s">
        <v>1331</v>
      </c>
      <c r="F141" t="str">
        <f>CONCATENATE(SR_Lookup[[#This Row],[Account]]," - ",SR_Lookup[[#This Row],[Account Desc]])</f>
        <v>720141 - OPS Social Security Match</v>
      </c>
    </row>
    <row r="142" spans="2:6">
      <c r="B142">
        <v>720142</v>
      </c>
      <c r="C142" t="s">
        <v>92</v>
      </c>
      <c r="D142" t="s">
        <v>1399</v>
      </c>
      <c r="E142" t="s">
        <v>1331</v>
      </c>
      <c r="F142" t="str">
        <f>CONCATENATE(SR_Lookup[[#This Row],[Account]]," - ",SR_Lookup[[#This Row],[Account Desc]])</f>
        <v>720142 - OPS Medicare</v>
      </c>
    </row>
    <row r="143" spans="2:6">
      <c r="B143">
        <v>720150</v>
      </c>
      <c r="C143" t="s">
        <v>1272</v>
      </c>
      <c r="D143" t="s">
        <v>1399</v>
      </c>
      <c r="E143" t="s">
        <v>1331</v>
      </c>
      <c r="F143" t="str">
        <f>CONCATENATE(SR_Lookup[[#This Row],[Account]]," - ",SR_Lookup[[#This Row],[Account Desc]])</f>
        <v>720150 - Graduate Fringe Benefits</v>
      </c>
    </row>
    <row r="144" spans="2:6">
      <c r="B144">
        <v>720161</v>
      </c>
      <c r="C144" t="s">
        <v>1235</v>
      </c>
      <c r="D144" t="s">
        <v>1399</v>
      </c>
      <c r="E144" t="s">
        <v>1331</v>
      </c>
      <c r="F144" t="str">
        <f>CONCATENATE(SR_Lookup[[#This Row],[Account]]," - ",SR_Lookup[[#This Row],[Account Desc]])</f>
        <v>720161 - OPS Pretax Admin Assessment</v>
      </c>
    </row>
    <row r="145" spans="2:6">
      <c r="B145">
        <v>720172</v>
      </c>
      <c r="C145" t="s">
        <v>1236</v>
      </c>
      <c r="D145" t="s">
        <v>1399</v>
      </c>
      <c r="E145" t="s">
        <v>1331</v>
      </c>
      <c r="F145" t="str">
        <f>CONCATENATE(SR_Lookup[[#This Row],[Account]]," - ",SR_Lookup[[#This Row],[Account Desc]])</f>
        <v>720172 - OPS Hlth Ins Employer Contrib</v>
      </c>
    </row>
    <row r="146" spans="2:6">
      <c r="B146">
        <v>720191</v>
      </c>
      <c r="C146" t="s">
        <v>93</v>
      </c>
      <c r="D146" t="s">
        <v>1399</v>
      </c>
      <c r="E146" t="s">
        <v>1331</v>
      </c>
      <c r="F146" t="str">
        <f>CONCATENATE(SR_Lookup[[#This Row],[Account]]," - ",SR_Lookup[[#This Row],[Account Desc]])</f>
        <v>720191 - OPS Disability</v>
      </c>
    </row>
    <row r="147" spans="2:6">
      <c r="B147">
        <v>720531</v>
      </c>
      <c r="C147" t="s">
        <v>1769</v>
      </c>
      <c r="D147" t="s">
        <v>1399</v>
      </c>
      <c r="E147" t="s">
        <v>1331</v>
      </c>
      <c r="F147" t="str">
        <f>CONCATENATE(SR_Lookup[[#This Row],[Account]]," - ",SR_Lookup[[#This Row],[Account Desc]])</f>
        <v>720531 - Benefits Graduate Assistants</v>
      </c>
    </row>
    <row r="148" spans="2:6">
      <c r="B148">
        <v>720532</v>
      </c>
      <c r="C148" t="s">
        <v>1770</v>
      </c>
      <c r="D148" t="s">
        <v>1399</v>
      </c>
      <c r="E148" t="s">
        <v>1331</v>
      </c>
      <c r="F148" t="str">
        <f>CONCATENATE(SR_Lookup[[#This Row],[Account]]," - ",SR_Lookup[[#This Row],[Account Desc]])</f>
        <v>720532 - Benefits Post Doctorial Assoc</v>
      </c>
    </row>
    <row r="149" spans="2:6">
      <c r="B149">
        <v>720533</v>
      </c>
      <c r="C149" t="s">
        <v>1771</v>
      </c>
      <c r="D149" t="s">
        <v>1399</v>
      </c>
      <c r="E149" t="s">
        <v>1331</v>
      </c>
      <c r="F149" t="str">
        <f>CONCATENATE(SR_Lookup[[#This Row],[Account]]," - ",SR_Lookup[[#This Row],[Account Desc]])</f>
        <v>720533 - Benefits Student Employment</v>
      </c>
    </row>
    <row r="150" spans="2:6">
      <c r="B150">
        <v>720534</v>
      </c>
      <c r="C150" t="s">
        <v>1772</v>
      </c>
      <c r="D150" t="s">
        <v>1399</v>
      </c>
      <c r="E150" t="s">
        <v>1331</v>
      </c>
      <c r="F150" t="str">
        <f>CONCATENATE(SR_Lookup[[#This Row],[Account]]," - ",SR_Lookup[[#This Row],[Account Desc]])</f>
        <v>720534 - Benefits OPS and Temp</v>
      </c>
    </row>
    <row r="151" spans="2:6">
      <c r="B151">
        <v>720538</v>
      </c>
      <c r="C151" t="s">
        <v>1773</v>
      </c>
      <c r="D151" t="s">
        <v>1399</v>
      </c>
      <c r="E151" t="s">
        <v>1331</v>
      </c>
      <c r="F151" t="str">
        <f>CONCATENATE(SR_Lookup[[#This Row],[Account]]," - ",SR_Lookup[[#This Row],[Account Desc]])</f>
        <v>720538 - Benefits OPS Bonus-1x</v>
      </c>
    </row>
    <row r="152" spans="2:6">
      <c r="B152">
        <v>720539</v>
      </c>
      <c r="C152" t="s">
        <v>1774</v>
      </c>
      <c r="D152" t="s">
        <v>1399</v>
      </c>
      <c r="E152" t="s">
        <v>1326</v>
      </c>
      <c r="F152" t="str">
        <f>CONCATENATE(SR_Lookup[[#This Row],[Account]]," - ",SR_Lookup[[#This Row],[Account Desc]])</f>
        <v>720539 - Benefits OPS OT-Suppl</v>
      </c>
    </row>
    <row r="153" spans="2:6">
      <c r="B153">
        <v>720901</v>
      </c>
      <c r="C153" t="s">
        <v>1870</v>
      </c>
      <c r="D153" t="s">
        <v>1399</v>
      </c>
      <c r="E153" t="s">
        <v>1331</v>
      </c>
      <c r="F153" t="str">
        <f>CONCATENATE(SR_Lookup[[#This Row],[Account]]," - ",SR_Lookup[[#This Row],[Account Desc]])</f>
        <v>720901 - Salary Reimb-OPS</v>
      </c>
    </row>
    <row r="154" spans="2:6">
      <c r="B154">
        <v>720999</v>
      </c>
      <c r="C154" t="s">
        <v>94</v>
      </c>
      <c r="D154" t="s">
        <v>1841</v>
      </c>
      <c r="E154" t="s">
        <v>1331</v>
      </c>
      <c r="F154" t="str">
        <f>CONCATENATE(SR_Lookup[[#This Row],[Account]]," - ",SR_Lookup[[#This Row],[Account Desc]])</f>
        <v>720999 - OPS Payroll Suspense</v>
      </c>
    </row>
    <row r="155" spans="2:6">
      <c r="B155">
        <v>730000</v>
      </c>
      <c r="C155" t="s">
        <v>1871</v>
      </c>
      <c r="D155" t="s">
        <v>1841</v>
      </c>
      <c r="E155" t="s">
        <v>1331</v>
      </c>
      <c r="F155" t="str">
        <f>CONCATENATE(SR_Lookup[[#This Row],[Account]]," - ",SR_Lookup[[#This Row],[Account Desc]])</f>
        <v>730000 - Budget Special Category</v>
      </c>
    </row>
    <row r="156" spans="2:6">
      <c r="B156">
        <v>730010</v>
      </c>
      <c r="C156" t="s">
        <v>96</v>
      </c>
      <c r="D156" t="s">
        <v>1841</v>
      </c>
      <c r="E156" t="s">
        <v>1331</v>
      </c>
      <c r="F156" t="str">
        <f>CONCATENATE(SR_Lookup[[#This Row],[Account]]," - ",SR_Lookup[[#This Row],[Account Desc]])</f>
        <v>730010 - Budget Regional Data Ctr</v>
      </c>
    </row>
    <row r="157" spans="2:6">
      <c r="B157">
        <v>730011</v>
      </c>
      <c r="C157" t="s">
        <v>97</v>
      </c>
      <c r="D157" t="s">
        <v>1841</v>
      </c>
      <c r="E157" t="s">
        <v>1331</v>
      </c>
      <c r="F157" t="str">
        <f>CONCATENATE(SR_Lookup[[#This Row],[Account]]," - ",SR_Lookup[[#This Row],[Account Desc]])</f>
        <v>730011 - Regional Data Center Charges</v>
      </c>
    </row>
    <row r="158" spans="2:6">
      <c r="B158">
        <v>730100</v>
      </c>
      <c r="C158" t="s">
        <v>98</v>
      </c>
      <c r="D158" t="s">
        <v>1841</v>
      </c>
      <c r="E158" t="s">
        <v>1331</v>
      </c>
      <c r="F158" t="str">
        <f>CONCATENATE(SR_Lookup[[#This Row],[Account]]," - ",SR_Lookup[[#This Row],[Account Desc]])</f>
        <v>730100 - Budget Salary Incentive (CJIP)</v>
      </c>
    </row>
    <row r="159" spans="2:6">
      <c r="B159">
        <v>730111</v>
      </c>
      <c r="C159" t="s">
        <v>99</v>
      </c>
      <c r="D159" t="s">
        <v>1399</v>
      </c>
      <c r="E159" t="s">
        <v>1331</v>
      </c>
      <c r="F159" t="str">
        <f>CONCATENATE(SR_Lookup[[#This Row],[Account]]," - ",SR_Lookup[[#This Row],[Account Desc]])</f>
        <v>730111 - Crim Justice Incentive Pay</v>
      </c>
    </row>
    <row r="160" spans="2:6">
      <c r="B160">
        <v>730141</v>
      </c>
      <c r="C160" t="s">
        <v>100</v>
      </c>
      <c r="D160" t="s">
        <v>1399</v>
      </c>
      <c r="E160" t="s">
        <v>1331</v>
      </c>
      <c r="F160" t="str">
        <f>CONCATENATE(SR_Lookup[[#This Row],[Account]]," - ",SR_Lookup[[#This Row],[Account Desc]])</f>
        <v>730141 - CJIP Soc Sec Matching</v>
      </c>
    </row>
    <row r="161" spans="2:6">
      <c r="B161">
        <v>730142</v>
      </c>
      <c r="C161" t="s">
        <v>101</v>
      </c>
      <c r="D161" t="s">
        <v>1399</v>
      </c>
      <c r="E161" t="s">
        <v>1331</v>
      </c>
      <c r="F161" t="str">
        <f>CONCATENATE(SR_Lookup[[#This Row],[Account]]," - ",SR_Lookup[[#This Row],[Account Desc]])</f>
        <v>730142 - CJIP Medicare</v>
      </c>
    </row>
    <row r="162" spans="2:6">
      <c r="B162">
        <v>730152</v>
      </c>
      <c r="C162" t="s">
        <v>102</v>
      </c>
      <c r="D162" t="s">
        <v>1399</v>
      </c>
      <c r="E162" t="s">
        <v>1331</v>
      </c>
      <c r="F162" t="str">
        <f>CONCATENATE(SR_Lookup[[#This Row],[Account]]," - ",SR_Lookup[[#This Row],[Account Desc]])</f>
        <v>730152 - CJIP Retirement Match</v>
      </c>
    </row>
    <row r="163" spans="2:6">
      <c r="B163">
        <v>730199</v>
      </c>
      <c r="C163" t="s">
        <v>103</v>
      </c>
      <c r="D163" t="s">
        <v>1841</v>
      </c>
      <c r="E163" t="s">
        <v>1331</v>
      </c>
      <c r="F163" t="str">
        <f>CONCATENATE(SR_Lookup[[#This Row],[Account]]," - ",SR_Lookup[[#This Row],[Account Desc]])</f>
        <v>730199 - CJIP Payroll Suspense</v>
      </c>
    </row>
    <row r="164" spans="2:6">
      <c r="B164">
        <v>730300</v>
      </c>
      <c r="C164" t="s">
        <v>104</v>
      </c>
      <c r="D164" t="s">
        <v>1841</v>
      </c>
      <c r="E164" t="s">
        <v>1326</v>
      </c>
      <c r="F164" t="str">
        <f>CONCATENATE(SR_Lookup[[#This Row],[Account]]," - ",SR_Lookup[[#This Row],[Account Desc]])</f>
        <v>730300 - Budget Risk Mgmt Insurance</v>
      </c>
    </row>
    <row r="165" spans="2:6">
      <c r="B165">
        <v>730301</v>
      </c>
      <c r="C165" t="s">
        <v>105</v>
      </c>
      <c r="D165" t="s">
        <v>1841</v>
      </c>
      <c r="E165" t="s">
        <v>1335</v>
      </c>
      <c r="F165" t="str">
        <f>CONCATENATE(SR_Lookup[[#This Row],[Account]]," - ",SR_Lookup[[#This Row],[Account Desc]])</f>
        <v>730301 - Insurance Automobile E&amp;G</v>
      </c>
    </row>
    <row r="166" spans="2:6">
      <c r="B166">
        <v>730302</v>
      </c>
      <c r="C166" t="s">
        <v>106</v>
      </c>
      <c r="D166" t="s">
        <v>1841</v>
      </c>
      <c r="E166" t="s">
        <v>1335</v>
      </c>
      <c r="F166" t="str">
        <f>CONCATENATE(SR_Lookup[[#This Row],[Account]]," - ",SR_Lookup[[#This Row],[Account Desc]])</f>
        <v>730302 - Insurance Liab General E&amp;G</v>
      </c>
    </row>
    <row r="167" spans="2:6">
      <c r="B167">
        <v>730303</v>
      </c>
      <c r="C167" t="s">
        <v>107</v>
      </c>
      <c r="D167" t="s">
        <v>1841</v>
      </c>
      <c r="E167" t="s">
        <v>1335</v>
      </c>
      <c r="F167" t="str">
        <f>CONCATENATE(SR_Lookup[[#This Row],[Account]]," - ",SR_Lookup[[#This Row],[Account Desc]])</f>
        <v>730303 - Managed Care E&amp;G Special Pay</v>
      </c>
    </row>
    <row r="168" spans="2:6">
      <c r="B168">
        <v>730304</v>
      </c>
      <c r="C168" t="s">
        <v>108</v>
      </c>
      <c r="D168" t="s">
        <v>1841</v>
      </c>
      <c r="E168" t="s">
        <v>1335</v>
      </c>
      <c r="F168" t="str">
        <f>CONCATENATE(SR_Lookup[[#This Row],[Account]]," - ",SR_Lookup[[#This Row],[Account Desc]])</f>
        <v>730304 - Insurance Workers Comp E&amp;G</v>
      </c>
    </row>
    <row r="169" spans="2:6">
      <c r="B169">
        <v>730305</v>
      </c>
      <c r="C169" t="s">
        <v>109</v>
      </c>
      <c r="D169" t="s">
        <v>1841</v>
      </c>
      <c r="E169" t="s">
        <v>1335</v>
      </c>
      <c r="F169" t="str">
        <f>CONCATENATE(SR_Lookup[[#This Row],[Account]]," - ",SR_Lookup[[#This Row],[Account Desc]])</f>
        <v>730305 - Insurance Liab Civ Rts E&amp;G</v>
      </c>
    </row>
    <row r="170" spans="2:6">
      <c r="B170">
        <v>730341</v>
      </c>
      <c r="C170" t="s">
        <v>1595</v>
      </c>
      <c r="D170" t="s">
        <v>1399</v>
      </c>
      <c r="E170" t="s">
        <v>1335</v>
      </c>
      <c r="F170" t="str">
        <f>CONCATENATE(SR_Lookup[[#This Row],[Account]]," - ",SR_Lookup[[#This Row],[Account Desc]])</f>
        <v>730341 - Social Security Match CJP A&amp;P</v>
      </c>
    </row>
    <row r="171" spans="2:6">
      <c r="B171">
        <v>730342</v>
      </c>
      <c r="C171" t="s">
        <v>1596</v>
      </c>
      <c r="D171" t="s">
        <v>1399</v>
      </c>
      <c r="E171" t="s">
        <v>1335</v>
      </c>
      <c r="F171" t="str">
        <f>CONCATENATE(SR_Lookup[[#This Row],[Account]]," - ",SR_Lookup[[#This Row],[Account Desc]])</f>
        <v>730342 - Medicare CJP A&amp;P</v>
      </c>
    </row>
    <row r="172" spans="2:6">
      <c r="B172">
        <v>730352</v>
      </c>
      <c r="C172" t="s">
        <v>1597</v>
      </c>
      <c r="D172" t="s">
        <v>1399</v>
      </c>
      <c r="E172" t="s">
        <v>1335</v>
      </c>
      <c r="F172" t="str">
        <f>CONCATENATE(SR_Lookup[[#This Row],[Account]]," - ",SR_Lookup[[#This Row],[Account Desc]])</f>
        <v>730352 - Def Ben Retire Match CJP A&amp;P</v>
      </c>
    </row>
    <row r="173" spans="2:6">
      <c r="B173">
        <v>730353</v>
      </c>
      <c r="C173" t="s">
        <v>1598</v>
      </c>
      <c r="D173" t="s">
        <v>1399</v>
      </c>
      <c r="E173" t="s">
        <v>1335</v>
      </c>
      <c r="F173" t="str">
        <f>CONCATENATE(SR_Lookup[[#This Row],[Account]]," - ",SR_Lookup[[#This Row],[Account Desc]])</f>
        <v>730353 - ORP Def Cont Match CJP A&amp;P</v>
      </c>
    </row>
    <row r="174" spans="2:6">
      <c r="B174">
        <v>730354</v>
      </c>
      <c r="C174" t="s">
        <v>1599</v>
      </c>
      <c r="D174" t="s">
        <v>1399</v>
      </c>
      <c r="E174" t="s">
        <v>1335</v>
      </c>
      <c r="F174" t="str">
        <f>CONCATENATE(SR_Lookup[[#This Row],[Account]]," - ",SR_Lookup[[#This Row],[Account Desc]])</f>
        <v>730354 - PEORP Def Cont Match CJP A&amp;P</v>
      </c>
    </row>
    <row r="175" spans="2:6">
      <c r="B175">
        <v>730400</v>
      </c>
      <c r="C175" t="s">
        <v>110</v>
      </c>
      <c r="D175" t="s">
        <v>1841</v>
      </c>
      <c r="E175" t="s">
        <v>1335</v>
      </c>
      <c r="F175" t="str">
        <f>CONCATENATE(SR_Lookup[[#This Row],[Account]]," - ",SR_Lookup[[#This Row],[Account Desc]])</f>
        <v>730400 - Budget Research Comm Asst Grnt</v>
      </c>
    </row>
    <row r="176" spans="2:6">
      <c r="B176">
        <v>730441</v>
      </c>
      <c r="C176" t="s">
        <v>1600</v>
      </c>
      <c r="D176" t="s">
        <v>1399</v>
      </c>
      <c r="E176" t="s">
        <v>1336</v>
      </c>
      <c r="F176" t="str">
        <f>CONCATENATE(SR_Lookup[[#This Row],[Account]]," - ",SR_Lookup[[#This Row],[Account Desc]])</f>
        <v>730441 - Social Security Match CJP USPS</v>
      </c>
    </row>
    <row r="177" spans="2:6">
      <c r="B177">
        <v>730442</v>
      </c>
      <c r="C177" t="s">
        <v>1601</v>
      </c>
      <c r="D177" t="s">
        <v>1399</v>
      </c>
      <c r="E177" t="s">
        <v>1336</v>
      </c>
      <c r="F177" t="str">
        <f>CONCATENATE(SR_Lookup[[#This Row],[Account]]," - ",SR_Lookup[[#This Row],[Account Desc]])</f>
        <v>730442 - Medicare CJP USPS</v>
      </c>
    </row>
    <row r="178" spans="2:6">
      <c r="B178">
        <v>730452</v>
      </c>
      <c r="C178" t="s">
        <v>1602</v>
      </c>
      <c r="D178" t="s">
        <v>1399</v>
      </c>
      <c r="E178" t="s">
        <v>1336</v>
      </c>
      <c r="F178" t="str">
        <f>CONCATENATE(SR_Lookup[[#This Row],[Account]]," - ",SR_Lookup[[#This Row],[Account Desc]])</f>
        <v>730452 - Def Ben Retire Match CJP USPS</v>
      </c>
    </row>
    <row r="179" spans="2:6">
      <c r="B179">
        <v>730453</v>
      </c>
      <c r="C179" t="s">
        <v>1603</v>
      </c>
      <c r="D179" t="s">
        <v>1399</v>
      </c>
      <c r="E179" t="s">
        <v>1336</v>
      </c>
      <c r="F179" t="str">
        <f>CONCATENATE(SR_Lookup[[#This Row],[Account]]," - ",SR_Lookup[[#This Row],[Account Desc]])</f>
        <v>730453 - ORP Def Cont Match CJP USPS</v>
      </c>
    </row>
    <row r="180" spans="2:6">
      <c r="B180">
        <v>730454</v>
      </c>
      <c r="C180" t="s">
        <v>1604</v>
      </c>
      <c r="D180" t="s">
        <v>1399</v>
      </c>
      <c r="E180" t="s">
        <v>1336</v>
      </c>
      <c r="F180" t="str">
        <f>CONCATENATE(SR_Lookup[[#This Row],[Account]]," - ",SR_Lookup[[#This Row],[Account Desc]])</f>
        <v>730454 - PEORP Def Cont Match CJP USPS</v>
      </c>
    </row>
    <row r="181" spans="2:6">
      <c r="B181">
        <v>730700</v>
      </c>
      <c r="C181" t="s">
        <v>111</v>
      </c>
      <c r="D181" t="s">
        <v>1841</v>
      </c>
      <c r="E181" t="s">
        <v>1336</v>
      </c>
      <c r="F181" t="str">
        <f>CONCATENATE(SR_Lookup[[#This Row],[Account]]," - ",SR_Lookup[[#This Row],[Account Desc]])</f>
        <v>730700 - Budget Library Resources</v>
      </c>
    </row>
    <row r="182" spans="2:6">
      <c r="B182">
        <v>730701</v>
      </c>
      <c r="C182" t="s">
        <v>773</v>
      </c>
      <c r="D182" t="s">
        <v>1339</v>
      </c>
      <c r="E182" t="s">
        <v>1336</v>
      </c>
      <c r="F182" t="str">
        <f>CONCATENATE(SR_Lookup[[#This Row],[Account]]," - ",SR_Lookup[[#This Row],[Account Desc]])</f>
        <v>730701 - Library Materials Expendable</v>
      </c>
    </row>
    <row r="183" spans="2:6">
      <c r="B183">
        <v>730702</v>
      </c>
      <c r="C183" t="s">
        <v>774</v>
      </c>
      <c r="D183" t="s">
        <v>1340</v>
      </c>
      <c r="E183" t="s">
        <v>1336</v>
      </c>
      <c r="F183" t="str">
        <f>CONCATENATE(SR_Lookup[[#This Row],[Account]]," - ",SR_Lookup[[#This Row],[Account Desc]])</f>
        <v>730702 - Library Materials Capital</v>
      </c>
    </row>
    <row r="184" spans="2:6">
      <c r="B184">
        <v>730730</v>
      </c>
      <c r="C184" t="s">
        <v>112</v>
      </c>
      <c r="D184" t="s">
        <v>1841</v>
      </c>
      <c r="E184" t="s">
        <v>1336</v>
      </c>
      <c r="F184" t="str">
        <f>CONCATENATE(SR_Lookup[[#This Row],[Account]]," - ",SR_Lookup[[#This Row],[Account Desc]])</f>
        <v>730730 - Interest Penalty Library Res</v>
      </c>
    </row>
    <row r="185" spans="2:6">
      <c r="B185">
        <v>730731</v>
      </c>
      <c r="C185" t="s">
        <v>113</v>
      </c>
      <c r="D185" t="s">
        <v>1841</v>
      </c>
      <c r="E185" t="s">
        <v>1337</v>
      </c>
      <c r="F185" t="str">
        <f>CONCATENATE(SR_Lookup[[#This Row],[Account]]," - ",SR_Lookup[[#This Row],[Account Desc]])</f>
        <v>730731 - Interest Penalty Library Book</v>
      </c>
    </row>
    <row r="186" spans="2:6">
      <c r="B186">
        <v>730800</v>
      </c>
      <c r="C186" t="s">
        <v>114</v>
      </c>
      <c r="D186" t="s">
        <v>1841</v>
      </c>
      <c r="E186" t="s">
        <v>1326</v>
      </c>
      <c r="F186" t="str">
        <f>CONCATENATE(SR_Lookup[[#This Row],[Account]]," - ",SR_Lookup[[#This Row],[Account Desc]])</f>
        <v>730800 - Budget Stdnt Financial Aid</v>
      </c>
    </row>
    <row r="187" spans="2:6">
      <c r="B187">
        <v>730801</v>
      </c>
      <c r="C187" t="s">
        <v>115</v>
      </c>
      <c r="D187" t="s">
        <v>1841</v>
      </c>
      <c r="E187" t="s">
        <v>1326</v>
      </c>
      <c r="F187" t="str">
        <f>CONCATENATE(SR_Lookup[[#This Row],[Account]]," - ",SR_Lookup[[#This Row],[Account Desc]])</f>
        <v>730801 - Stdnt Aid State Appropriations</v>
      </c>
    </row>
    <row r="188" spans="2:6">
      <c r="B188">
        <v>730810</v>
      </c>
      <c r="C188" t="s">
        <v>116</v>
      </c>
      <c r="D188" t="s">
        <v>1841</v>
      </c>
      <c r="E188" t="s">
        <v>1326</v>
      </c>
      <c r="F188" t="str">
        <f>CONCATENATE(SR_Lookup[[#This Row],[Account]]," - ",SR_Lookup[[#This Row],[Account Desc]])</f>
        <v>730810 - Budget Differen Need Based Aid</v>
      </c>
    </row>
    <row r="189" spans="2:6">
      <c r="B189">
        <v>730811</v>
      </c>
      <c r="C189" t="s">
        <v>117</v>
      </c>
      <c r="D189" t="s">
        <v>1841</v>
      </c>
      <c r="E189" t="s">
        <v>1337</v>
      </c>
      <c r="F189" t="str">
        <f>CONCATENATE(SR_Lookup[[#This Row],[Account]]," - ",SR_Lookup[[#This Row],[Account Desc]])</f>
        <v>730811 - Stdnt Aid Differntl Need Based</v>
      </c>
    </row>
    <row r="190" spans="2:6">
      <c r="B190">
        <v>730830</v>
      </c>
      <c r="C190" t="s">
        <v>118</v>
      </c>
      <c r="D190" t="s">
        <v>1841</v>
      </c>
      <c r="E190" t="s">
        <v>1326</v>
      </c>
      <c r="F190" t="str">
        <f>CONCATENATE(SR_Lookup[[#This Row],[Account]]," - ",SR_Lookup[[#This Row],[Account Desc]])</f>
        <v>730830 - Budget Fee Waivers</v>
      </c>
    </row>
    <row r="191" spans="2:6">
      <c r="B191">
        <v>730831</v>
      </c>
      <c r="C191" t="s">
        <v>119</v>
      </c>
      <c r="D191" t="s">
        <v>1841</v>
      </c>
      <c r="E191" t="s">
        <v>1326</v>
      </c>
      <c r="F191" t="str">
        <f>CONCATENATE(SR_Lookup[[#This Row],[Account]]," - ",SR_Lookup[[#This Row],[Account Desc]])</f>
        <v>730831 - Ed Enhance Out of St Waiver</v>
      </c>
    </row>
    <row r="192" spans="2:6">
      <c r="B192">
        <v>730832</v>
      </c>
      <c r="C192" t="s">
        <v>120</v>
      </c>
      <c r="D192" t="s">
        <v>1343</v>
      </c>
      <c r="E192" t="s">
        <v>1326</v>
      </c>
      <c r="F192" t="str">
        <f>CONCATENATE(SR_Lookup[[#This Row],[Account]]," - ",SR_Lookup[[#This Row],[Account Desc]])</f>
        <v>730832 - Stdnt Aid Wvr State Approp</v>
      </c>
    </row>
    <row r="193" spans="2:6">
      <c r="B193">
        <v>730860</v>
      </c>
      <c r="C193" t="s">
        <v>121</v>
      </c>
      <c r="D193" t="s">
        <v>1841</v>
      </c>
      <c r="E193" t="s">
        <v>1337</v>
      </c>
      <c r="F193" t="str">
        <f>CONCATENATE(SR_Lookup[[#This Row],[Account]]," - ",SR_Lookup[[#This Row],[Account Desc]])</f>
        <v>730860 - Budget Inst of Government</v>
      </c>
    </row>
    <row r="194" spans="2:6">
      <c r="B194">
        <v>730861</v>
      </c>
      <c r="C194" t="s">
        <v>122</v>
      </c>
      <c r="D194" t="s">
        <v>1841</v>
      </c>
      <c r="E194" t="s">
        <v>1326</v>
      </c>
      <c r="F194" t="str">
        <f>CONCATENATE(SR_Lookup[[#This Row],[Account]]," - ",SR_Lookup[[#This Row],[Account Desc]])</f>
        <v>730861 - Stdnt Aid STARS Awards</v>
      </c>
    </row>
    <row r="195" spans="2:6">
      <c r="B195">
        <v>730880</v>
      </c>
      <c r="C195" t="s">
        <v>123</v>
      </c>
      <c r="D195" t="s">
        <v>1841</v>
      </c>
      <c r="E195" t="s">
        <v>1326</v>
      </c>
      <c r="F195" t="str">
        <f>CONCATENATE(SR_Lookup[[#This Row],[Account]]," - ",SR_Lookup[[#This Row],[Account Desc]])</f>
        <v>730880 - Budget Virgil Hawkins Scholars</v>
      </c>
    </row>
    <row r="196" spans="2:6">
      <c r="B196">
        <v>730881</v>
      </c>
      <c r="C196" t="s">
        <v>124</v>
      </c>
      <c r="D196" t="s">
        <v>1841</v>
      </c>
      <c r="E196" t="s">
        <v>1326</v>
      </c>
      <c r="F196" t="str">
        <f>CONCATENATE(SR_Lookup[[#This Row],[Account]]," - ",SR_Lookup[[#This Row],[Account Desc]])</f>
        <v>730881 - Stdnt Aid Fellowship V Hawkins</v>
      </c>
    </row>
    <row r="197" spans="2:6">
      <c r="B197">
        <v>740000</v>
      </c>
      <c r="C197" t="s">
        <v>775</v>
      </c>
      <c r="D197" t="s">
        <v>1841</v>
      </c>
      <c r="E197" t="s">
        <v>1337</v>
      </c>
      <c r="F197" t="str">
        <f>CONCATENATE(SR_Lookup[[#This Row],[Account]]," - ",SR_Lookup[[#This Row],[Account Desc]])</f>
        <v>740000 - Budget Expense</v>
      </c>
    </row>
    <row r="198" spans="2:6">
      <c r="B198">
        <v>740001</v>
      </c>
      <c r="C198" t="s">
        <v>1611</v>
      </c>
      <c r="D198" t="s">
        <v>1841</v>
      </c>
      <c r="E198" t="s">
        <v>1337</v>
      </c>
      <c r="F198" t="str">
        <f>CONCATENATE(SR_Lookup[[#This Row],[Account]]," - ",SR_Lookup[[#This Row],[Account Desc]])</f>
        <v>740001 - Budget Exp-Prof/Other Services</v>
      </c>
    </row>
    <row r="199" spans="2:6">
      <c r="B199">
        <v>740002</v>
      </c>
      <c r="C199" t="s">
        <v>1613</v>
      </c>
      <c r="D199" t="s">
        <v>1841</v>
      </c>
      <c r="E199" t="s">
        <v>1336</v>
      </c>
      <c r="F199" t="str">
        <f>CONCATENATE(SR_Lookup[[#This Row],[Account]]," - ",SR_Lookup[[#This Row],[Account Desc]])</f>
        <v>740002 - Budget Exp-Chartered Travel</v>
      </c>
    </row>
    <row r="200" spans="2:6">
      <c r="B200">
        <v>740003</v>
      </c>
      <c r="C200" t="s">
        <v>1629</v>
      </c>
      <c r="D200" t="s">
        <v>1841</v>
      </c>
      <c r="E200" t="s">
        <v>1336</v>
      </c>
      <c r="F200" t="str">
        <f>CONCATENATE(SR_Lookup[[#This Row],[Account]]," - ",SR_Lookup[[#This Row],[Account Desc]])</f>
        <v>740003 - Budget Exp-Print/Reproduction</v>
      </c>
    </row>
    <row r="201" spans="2:6">
      <c r="B201">
        <v>740004</v>
      </c>
      <c r="C201" t="s">
        <v>1631</v>
      </c>
      <c r="D201" t="s">
        <v>1841</v>
      </c>
      <c r="E201" t="s">
        <v>1336</v>
      </c>
      <c r="F201" t="str">
        <f>CONCATENATE(SR_Lookup[[#This Row],[Account]]," - ",SR_Lookup[[#This Row],[Account Desc]])</f>
        <v>740004 - Budget Exp-Subrecipient</v>
      </c>
    </row>
    <row r="202" spans="2:6">
      <c r="B202">
        <v>740005</v>
      </c>
      <c r="C202" t="s">
        <v>1632</v>
      </c>
      <c r="D202" t="s">
        <v>1841</v>
      </c>
      <c r="E202" t="s">
        <v>1336</v>
      </c>
      <c r="F202" t="str">
        <f>CONCATENATE(SR_Lookup[[#This Row],[Account]]," - ",SR_Lookup[[#This Row],[Account Desc]])</f>
        <v>740005 - Budget Exp-Travel</v>
      </c>
    </row>
    <row r="203" spans="2:6">
      <c r="B203">
        <v>740006</v>
      </c>
      <c r="C203" t="s">
        <v>1633</v>
      </c>
      <c r="D203" t="s">
        <v>1841</v>
      </c>
      <c r="E203" t="s">
        <v>1338</v>
      </c>
      <c r="F203" t="str">
        <f>CONCATENATE(SR_Lookup[[#This Row],[Account]]," - ",SR_Lookup[[#This Row],[Account Desc]])</f>
        <v>740006 - Budget Exp-Network/Telecom</v>
      </c>
    </row>
    <row r="204" spans="2:6">
      <c r="B204">
        <v>740007</v>
      </c>
      <c r="C204" t="s">
        <v>1636</v>
      </c>
      <c r="D204" t="s">
        <v>1841</v>
      </c>
      <c r="E204" t="s">
        <v>1338</v>
      </c>
      <c r="F204" t="str">
        <f>CONCATENATE(SR_Lookup[[#This Row],[Account]]," - ",SR_Lookup[[#This Row],[Account Desc]])</f>
        <v>740007 - Budget Exp-Utilities</v>
      </c>
    </row>
    <row r="205" spans="2:6">
      <c r="B205">
        <v>740008</v>
      </c>
      <c r="C205" t="s">
        <v>1637</v>
      </c>
      <c r="D205" t="s">
        <v>1841</v>
      </c>
      <c r="E205" t="s">
        <v>1338</v>
      </c>
      <c r="F205" t="str">
        <f>CONCATENATE(SR_Lookup[[#This Row],[Account]]," - ",SR_Lookup[[#This Row],[Account Desc]])</f>
        <v>740008 - Budget Exp-Repair/Maint-Fac/Eq</v>
      </c>
    </row>
    <row r="206" spans="2:6">
      <c r="B206">
        <v>740009</v>
      </c>
      <c r="C206" t="s">
        <v>1638</v>
      </c>
      <c r="D206" t="s">
        <v>1841</v>
      </c>
      <c r="E206" t="s">
        <v>1338</v>
      </c>
      <c r="F206" t="str">
        <f>CONCATENATE(SR_Lookup[[#This Row],[Account]]," - ",SR_Lookup[[#This Row],[Account Desc]])</f>
        <v>740009 - Budget Exp-Maint IT Software</v>
      </c>
    </row>
    <row r="207" spans="2:6">
      <c r="B207">
        <v>740010</v>
      </c>
      <c r="C207" t="s">
        <v>1640</v>
      </c>
      <c r="D207" t="s">
        <v>1841</v>
      </c>
      <c r="E207" t="s">
        <v>1338</v>
      </c>
      <c r="F207" t="str">
        <f>CONCATENATE(SR_Lookup[[#This Row],[Account]]," - ",SR_Lookup[[#This Row],[Account Desc]])</f>
        <v>740010 - Budget Exp-Resale Goods/Srvcs</v>
      </c>
    </row>
    <row r="208" spans="2:6">
      <c r="B208">
        <v>740011</v>
      </c>
      <c r="C208" t="s">
        <v>1630</v>
      </c>
      <c r="D208" t="s">
        <v>1841</v>
      </c>
      <c r="E208" t="s">
        <v>1338</v>
      </c>
      <c r="F208" t="str">
        <f>CONCATENATE(SR_Lookup[[#This Row],[Account]]," - ",SR_Lookup[[#This Row],[Account Desc]])</f>
        <v>740011 - Budget Exp-Consumable Supplies</v>
      </c>
    </row>
    <row r="209" spans="2:6">
      <c r="B209">
        <v>740012</v>
      </c>
      <c r="C209" t="s">
        <v>1641</v>
      </c>
      <c r="D209" t="s">
        <v>1841</v>
      </c>
      <c r="E209" t="s">
        <v>1338</v>
      </c>
      <c r="F209" t="str">
        <f>CONCATENATE(SR_Lookup[[#This Row],[Account]]," - ",SR_Lookup[[#This Row],[Account Desc]])</f>
        <v>740012 - Budget Exp-Equip/Oth Supplies</v>
      </c>
    </row>
    <row r="210" spans="2:6">
      <c r="B210">
        <v>740013</v>
      </c>
      <c r="C210" t="s">
        <v>1642</v>
      </c>
      <c r="D210" t="s">
        <v>1841</v>
      </c>
      <c r="E210" t="s">
        <v>1338</v>
      </c>
      <c r="F210" t="str">
        <f>CONCATENATE(SR_Lookup[[#This Row],[Account]]," - ",SR_Lookup[[#This Row],[Account Desc]])</f>
        <v>740013 - Budget Exp-Postal/Freight</v>
      </c>
    </row>
    <row r="211" spans="2:6">
      <c r="B211">
        <v>740014</v>
      </c>
      <c r="C211" t="s">
        <v>1643</v>
      </c>
      <c r="D211" t="s">
        <v>1841</v>
      </c>
      <c r="E211" t="s">
        <v>1338</v>
      </c>
      <c r="F211" t="str">
        <f>CONCATENATE(SR_Lookup[[#This Row],[Account]]," - ",SR_Lookup[[#This Row],[Account Desc]])</f>
        <v>740014 - Budget Exp-Insurance</v>
      </c>
    </row>
    <row r="212" spans="2:6">
      <c r="B212">
        <v>740015</v>
      </c>
      <c r="C212" t="s">
        <v>1645</v>
      </c>
      <c r="D212" t="s">
        <v>1841</v>
      </c>
      <c r="E212" t="s">
        <v>1338</v>
      </c>
      <c r="F212" t="str">
        <f>CONCATENATE(SR_Lookup[[#This Row],[Account]]," - ",SR_Lookup[[#This Row],[Account Desc]])</f>
        <v>740015 - Budget Exp-Rentals</v>
      </c>
    </row>
    <row r="213" spans="2:6">
      <c r="B213">
        <v>740016</v>
      </c>
      <c r="C213" t="s">
        <v>1644</v>
      </c>
      <c r="D213" t="s">
        <v>1841</v>
      </c>
      <c r="E213" t="s">
        <v>1336</v>
      </c>
      <c r="F213" t="str">
        <f>CONCATENATE(SR_Lookup[[#This Row],[Account]]," - ",SR_Lookup[[#This Row],[Account Desc]])</f>
        <v>740016 - Budget Exp-Financial Aid</v>
      </c>
    </row>
    <row r="214" spans="2:6">
      <c r="B214">
        <v>740017</v>
      </c>
      <c r="C214" t="s">
        <v>1610</v>
      </c>
      <c r="D214" t="s">
        <v>1841</v>
      </c>
      <c r="E214" t="s">
        <v>1326</v>
      </c>
      <c r="F214" t="str">
        <f>CONCATENATE(SR_Lookup[[#This Row],[Account]]," - ",SR_Lookup[[#This Row],[Account Desc]])</f>
        <v>740017 - Budget Exp-Other Exp</v>
      </c>
    </row>
    <row r="215" spans="2:6">
      <c r="B215">
        <v>740099</v>
      </c>
      <c r="C215" t="s">
        <v>776</v>
      </c>
      <c r="D215" t="s">
        <v>1841</v>
      </c>
      <c r="E215" t="s">
        <v>1326</v>
      </c>
      <c r="F215" t="str">
        <f>CONCATENATE(SR_Lookup[[#This Row],[Account]]," - ",SR_Lookup[[#This Row],[Account Desc]])</f>
        <v>740099 - Expense Payroll Suspense</v>
      </c>
    </row>
    <row r="216" spans="2:6">
      <c r="B216">
        <v>740111</v>
      </c>
      <c r="C216" t="s">
        <v>777</v>
      </c>
      <c r="D216" t="s">
        <v>1399</v>
      </c>
      <c r="E216" t="s">
        <v>1338</v>
      </c>
      <c r="F216" t="str">
        <f>CONCATENATE(SR_Lookup[[#This Row],[Account]]," - ",SR_Lookup[[#This Row],[Account Desc]])</f>
        <v>740111 - State Personnel Assessments</v>
      </c>
    </row>
    <row r="217" spans="2:6">
      <c r="B217">
        <v>740200</v>
      </c>
      <c r="C217" t="s">
        <v>778</v>
      </c>
      <c r="D217" t="s">
        <v>1841</v>
      </c>
      <c r="E217" t="s">
        <v>1330</v>
      </c>
      <c r="F217" t="str">
        <f>CONCATENATE(SR_Lookup[[#This Row],[Account]]," - ",SR_Lookup[[#This Row],[Account Desc]])</f>
        <v>740200 - Budget Indep Svcs Restrict</v>
      </c>
    </row>
    <row r="218" spans="2:6">
      <c r="B218">
        <v>740206</v>
      </c>
      <c r="C218" t="s">
        <v>779</v>
      </c>
      <c r="D218" t="s">
        <v>1842</v>
      </c>
      <c r="E218" t="s">
        <v>1326</v>
      </c>
      <c r="F218" t="str">
        <f>CONCATENATE(SR_Lookup[[#This Row],[Account]]," - ",SR_Lookup[[#This Row],[Account Desc]])</f>
        <v>740206 - Research Analysis Svcs</v>
      </c>
    </row>
    <row r="219" spans="2:6">
      <c r="B219">
        <v>740211</v>
      </c>
      <c r="C219" t="s">
        <v>1612</v>
      </c>
      <c r="D219" t="s">
        <v>1842</v>
      </c>
      <c r="E219" t="s">
        <v>1338</v>
      </c>
      <c r="F219" t="str">
        <f>CONCATENATE(SR_Lookup[[#This Row],[Account]]," - ",SR_Lookup[[#This Row],[Account Desc]])</f>
        <v>740211 - Svcs Prof Accounting/Auditing</v>
      </c>
    </row>
    <row r="220" spans="2:6">
      <c r="B220">
        <v>740213</v>
      </c>
      <c r="C220" t="s">
        <v>781</v>
      </c>
      <c r="D220" t="s">
        <v>1339</v>
      </c>
      <c r="F220" t="str">
        <f>CONCATENATE(SR_Lookup[[#This Row],[Account]]," - ",SR_Lookup[[#This Row],[Account Desc]])</f>
        <v>740213 - Bank Service Charges</v>
      </c>
    </row>
    <row r="221" spans="2:6">
      <c r="B221">
        <v>740215</v>
      </c>
      <c r="C221" t="s">
        <v>782</v>
      </c>
      <c r="D221" t="s">
        <v>1384</v>
      </c>
      <c r="E221" t="s">
        <v>1338</v>
      </c>
      <c r="F221" t="str">
        <f>CONCATENATE(SR_Lookup[[#This Row],[Account]]," - ",SR_Lookup[[#This Row],[Account Desc]])</f>
        <v>740215 - Chartered Vehicle Travel</v>
      </c>
    </row>
    <row r="222" spans="2:6">
      <c r="B222">
        <v>740216</v>
      </c>
      <c r="C222" t="s">
        <v>783</v>
      </c>
      <c r="D222" t="s">
        <v>1384</v>
      </c>
      <c r="E222" t="s">
        <v>1338</v>
      </c>
      <c r="F222" t="str">
        <f>CONCATENATE(SR_Lookup[[#This Row],[Account]]," - ",SR_Lookup[[#This Row],[Account Desc]])</f>
        <v>740216 - Chartered Air Travel</v>
      </c>
    </row>
    <row r="223" spans="2:6">
      <c r="B223">
        <v>740221</v>
      </c>
      <c r="C223" t="s">
        <v>1614</v>
      </c>
      <c r="D223" t="s">
        <v>1842</v>
      </c>
      <c r="E223" t="s">
        <v>1336</v>
      </c>
      <c r="F223" t="str">
        <f>CONCATENATE(SR_Lookup[[#This Row],[Account]]," - ",SR_Lookup[[#This Row],[Account Desc]])</f>
        <v>740221 - Svcs Prof Archictecture</v>
      </c>
    </row>
    <row r="224" spans="2:6">
      <c r="B224">
        <v>740222</v>
      </c>
      <c r="C224" t="s">
        <v>1507</v>
      </c>
      <c r="D224" t="s">
        <v>1842</v>
      </c>
      <c r="E224" t="s">
        <v>1336</v>
      </c>
      <c r="F224" t="str">
        <f>CONCATENATE(SR_Lookup[[#This Row],[Account]]," - ",SR_Lookup[[#This Row],[Account Desc]])</f>
        <v>740222 - Svcs Prof Engineering</v>
      </c>
    </row>
    <row r="225" spans="2:6">
      <c r="B225">
        <v>740223</v>
      </c>
      <c r="C225" t="s">
        <v>1615</v>
      </c>
      <c r="D225" t="s">
        <v>1842</v>
      </c>
      <c r="E225" t="s">
        <v>1336</v>
      </c>
      <c r="F225" t="str">
        <f>CONCATENATE(SR_Lookup[[#This Row],[Account]]," - ",SR_Lookup[[#This Row],[Account Desc]])</f>
        <v>740223 - Svcs Prof Constrct/Renovations</v>
      </c>
    </row>
    <row r="226" spans="2:6">
      <c r="B226">
        <v>740224</v>
      </c>
      <c r="C226" t="s">
        <v>787</v>
      </c>
      <c r="D226" t="s">
        <v>1843</v>
      </c>
      <c r="E226" t="s">
        <v>1336</v>
      </c>
      <c r="F226" t="str">
        <f>CONCATENATE(SR_Lookup[[#This Row],[Account]]," - ",SR_Lookup[[#This Row],[Account Desc]])</f>
        <v>740224 - Mailing/Delivery Services</v>
      </c>
    </row>
    <row r="227" spans="2:6">
      <c r="B227">
        <v>740225</v>
      </c>
      <c r="C227" t="s">
        <v>788</v>
      </c>
      <c r="D227" t="s">
        <v>1843</v>
      </c>
      <c r="E227" t="s">
        <v>1336</v>
      </c>
      <c r="F227" t="str">
        <f>CONCATENATE(SR_Lookup[[#This Row],[Account]]," - ",SR_Lookup[[#This Row],[Account Desc]])</f>
        <v>740225 - Food Services</v>
      </c>
    </row>
    <row r="228" spans="2:6">
      <c r="B228">
        <v>740227</v>
      </c>
      <c r="C228" t="s">
        <v>1616</v>
      </c>
      <c r="D228" t="s">
        <v>1842</v>
      </c>
      <c r="E228" t="s">
        <v>1336</v>
      </c>
      <c r="F228" t="str">
        <f>CONCATENATE(SR_Lookup[[#This Row],[Account]]," - ",SR_Lookup[[#This Row],[Account Desc]])</f>
        <v>740227 - Svcs Prof Excl MTDC</v>
      </c>
    </row>
    <row r="229" spans="2:6">
      <c r="B229">
        <v>740228</v>
      </c>
      <c r="C229" t="s">
        <v>1775</v>
      </c>
      <c r="D229" t="s">
        <v>1842</v>
      </c>
      <c r="E229" t="s">
        <v>1336</v>
      </c>
      <c r="F229" t="str">
        <f>CONCATENATE(SR_Lookup[[#This Row],[Account]]," - ",SR_Lookup[[#This Row],[Account Desc]])</f>
        <v>740228 - Svcs Prof Athl Event Security</v>
      </c>
    </row>
    <row r="230" spans="2:6">
      <c r="B230">
        <v>740229</v>
      </c>
      <c r="C230" t="s">
        <v>1492</v>
      </c>
      <c r="D230" t="s">
        <v>1842</v>
      </c>
      <c r="E230" t="s">
        <v>1336</v>
      </c>
      <c r="F230" t="str">
        <f>CONCATENATE(SR_Lookup[[#This Row],[Account]]," - ",SR_Lookup[[#This Row],[Account Desc]])</f>
        <v>740229 - Svcs Prof Security</v>
      </c>
    </row>
    <row r="231" spans="2:6">
      <c r="B231">
        <v>740231</v>
      </c>
      <c r="C231" t="s">
        <v>1617</v>
      </c>
      <c r="D231" t="s">
        <v>1842</v>
      </c>
      <c r="E231" t="s">
        <v>1336</v>
      </c>
      <c r="F231" t="str">
        <f>CONCATENATE(SR_Lookup[[#This Row],[Account]]," - ",SR_Lookup[[#This Row],[Account Desc]])</f>
        <v>740231 - Svcs Prof Other</v>
      </c>
    </row>
    <row r="232" spans="2:6">
      <c r="B232">
        <v>740232</v>
      </c>
      <c r="C232" t="s">
        <v>1618</v>
      </c>
      <c r="D232" t="s">
        <v>1843</v>
      </c>
      <c r="E232" t="s">
        <v>1336</v>
      </c>
      <c r="F232" t="str">
        <f>CONCATENATE(SR_Lookup[[#This Row],[Account]]," - ",SR_Lookup[[#This Row],[Account Desc]])</f>
        <v>740232 - CAPD Services</v>
      </c>
    </row>
    <row r="233" spans="2:6">
      <c r="B233">
        <v>740233</v>
      </c>
      <c r="C233" t="s">
        <v>793</v>
      </c>
      <c r="D233" t="s">
        <v>1843</v>
      </c>
      <c r="E233" t="s">
        <v>1336</v>
      </c>
      <c r="F233" t="str">
        <f>CONCATENATE(SR_Lookup[[#This Row],[Account]]," - ",SR_Lookup[[#This Row],[Account Desc]])</f>
        <v>740233 - Sponsored Agreements C&amp;G Only</v>
      </c>
    </row>
    <row r="234" spans="2:6">
      <c r="B234">
        <v>740234</v>
      </c>
      <c r="C234" t="s">
        <v>794</v>
      </c>
      <c r="D234" t="s">
        <v>1842</v>
      </c>
      <c r="E234" t="s">
        <v>1336</v>
      </c>
      <c r="F234" t="str">
        <f>CONCATENATE(SR_Lookup[[#This Row],[Account]]," - ",SR_Lookup[[#This Row],[Account Desc]])</f>
        <v>740234 - Games Guarantees</v>
      </c>
    </row>
    <row r="235" spans="2:6">
      <c r="B235">
        <v>740235</v>
      </c>
      <c r="C235" t="s">
        <v>795</v>
      </c>
      <c r="D235" t="s">
        <v>1841</v>
      </c>
      <c r="E235" t="s">
        <v>1326</v>
      </c>
      <c r="F235" t="str">
        <f>CONCATENATE(SR_Lookup[[#This Row],[Account]]," - ",SR_Lookup[[#This Row],[Account Desc]])</f>
        <v>740235 - Canx/Approved Write Offs</v>
      </c>
    </row>
    <row r="236" spans="2:6">
      <c r="B236">
        <v>740236</v>
      </c>
      <c r="C236" t="s">
        <v>796</v>
      </c>
      <c r="D236" t="s">
        <v>1842</v>
      </c>
      <c r="E236" t="s">
        <v>1336</v>
      </c>
      <c r="F236" t="str">
        <f>CONCATENATE(SR_Lookup[[#This Row],[Account]]," - ",SR_Lookup[[#This Row],[Account Desc]])</f>
        <v>740236 - Athletic Game Officials</v>
      </c>
    </row>
    <row r="237" spans="2:6">
      <c r="B237">
        <v>740237</v>
      </c>
      <c r="C237" t="s">
        <v>1619</v>
      </c>
      <c r="D237" t="s">
        <v>1843</v>
      </c>
      <c r="E237" t="s">
        <v>1336</v>
      </c>
      <c r="F237" t="str">
        <f>CONCATENATE(SR_Lookup[[#This Row],[Account]]," - ",SR_Lookup[[#This Row],[Account Desc]])</f>
        <v>740237 - Athletic Team Building</v>
      </c>
    </row>
    <row r="238" spans="2:6">
      <c r="B238">
        <v>740238</v>
      </c>
      <c r="C238" t="s">
        <v>797</v>
      </c>
      <c r="D238" t="s">
        <v>1393</v>
      </c>
      <c r="E238" t="s">
        <v>1336</v>
      </c>
      <c r="F238" t="str">
        <f>CONCATENATE(SR_Lookup[[#This Row],[Account]]," - ",SR_Lookup[[#This Row],[Account Desc]])</f>
        <v>740238 - Taxable Stipends C&amp;G</v>
      </c>
    </row>
    <row r="239" spans="2:6">
      <c r="B239">
        <v>740240</v>
      </c>
      <c r="C239" t="s">
        <v>1620</v>
      </c>
      <c r="D239" t="s">
        <v>1842</v>
      </c>
      <c r="E239" t="s">
        <v>1336</v>
      </c>
      <c r="F239" t="str">
        <f>CONCATENATE(SR_Lookup[[#This Row],[Account]]," - ",SR_Lookup[[#This Row],[Account Desc]])</f>
        <v>740240 - Svcs Prof Laser Lab</v>
      </c>
    </row>
    <row r="240" spans="2:6">
      <c r="B240">
        <v>740241</v>
      </c>
      <c r="C240" t="s">
        <v>1776</v>
      </c>
      <c r="D240" t="s">
        <v>1842</v>
      </c>
      <c r="E240" t="s">
        <v>1336</v>
      </c>
      <c r="F240" t="str">
        <f>CONCATENATE(SR_Lookup[[#This Row],[Account]]," - ",SR_Lookup[[#This Row],[Account Desc]])</f>
        <v>740241 - Peer Review/Rsch Board Svc</v>
      </c>
    </row>
    <row r="241" spans="2:6">
      <c r="B241">
        <v>740242</v>
      </c>
      <c r="C241" t="s">
        <v>801</v>
      </c>
      <c r="D241" t="s">
        <v>1842</v>
      </c>
      <c r="E241" t="s">
        <v>1336</v>
      </c>
      <c r="F241" t="str">
        <f>CONCATENATE(SR_Lookup[[#This Row],[Account]]," - ",SR_Lookup[[#This Row],[Account Desc]])</f>
        <v>740242 - Analysis Mass Spectrometry</v>
      </c>
    </row>
    <row r="242" spans="2:6">
      <c r="B242">
        <v>740243</v>
      </c>
      <c r="C242" t="s">
        <v>802</v>
      </c>
      <c r="D242" t="s">
        <v>1842</v>
      </c>
      <c r="E242" t="s">
        <v>1336</v>
      </c>
      <c r="F242" t="str">
        <f>CONCATENATE(SR_Lookup[[#This Row],[Account]]," - ",SR_Lookup[[#This Row],[Account Desc]])</f>
        <v>740243 - Analysis Electron Microscope</v>
      </c>
    </row>
    <row r="243" spans="2:6">
      <c r="B243">
        <v>740244</v>
      </c>
      <c r="C243" t="s">
        <v>803</v>
      </c>
      <c r="D243" t="s">
        <v>1842</v>
      </c>
      <c r="E243" t="s">
        <v>1336</v>
      </c>
      <c r="F243" t="str">
        <f>CONCATENATE(SR_Lookup[[#This Row],[Account]]," - ",SR_Lookup[[#This Row],[Account Desc]])</f>
        <v>740244 - Analysis Nuclear Mag Resonance</v>
      </c>
    </row>
    <row r="244" spans="2:6">
      <c r="B244">
        <v>740245</v>
      </c>
      <c r="C244" t="s">
        <v>1491</v>
      </c>
      <c r="D244" t="s">
        <v>1842</v>
      </c>
      <c r="E244" t="s">
        <v>1336</v>
      </c>
      <c r="F244" t="str">
        <f>CONCATENATE(SR_Lookup[[#This Row],[Account]]," - ",SR_Lookup[[#This Row],[Account Desc]])</f>
        <v>740245 - Svcs Prof Scientific Rsch/Anal</v>
      </c>
    </row>
    <row r="245" spans="2:6">
      <c r="B245">
        <v>740246</v>
      </c>
      <c r="C245" t="s">
        <v>805</v>
      </c>
      <c r="D245" t="s">
        <v>1842</v>
      </c>
      <c r="E245" t="s">
        <v>1336</v>
      </c>
      <c r="F245" t="str">
        <f>CONCATENATE(SR_Lookup[[#This Row],[Account]]," - ",SR_Lookup[[#This Row],[Account Desc]])</f>
        <v>740246 - Collection &amp; Recovery Services</v>
      </c>
    </row>
    <row r="246" spans="2:6">
      <c r="B246">
        <v>740247</v>
      </c>
      <c r="C246" t="s">
        <v>806</v>
      </c>
      <c r="D246" t="s">
        <v>1841</v>
      </c>
      <c r="E246" t="s">
        <v>1336</v>
      </c>
      <c r="F246" t="str">
        <f>CONCATENATE(SR_Lookup[[#This Row],[Account]]," - ",SR_Lookup[[#This Row],[Account Desc]])</f>
        <v>740247 - Collect Agency Exp Borrower Pd</v>
      </c>
    </row>
    <row r="247" spans="2:6">
      <c r="B247">
        <v>740248</v>
      </c>
      <c r="C247" t="s">
        <v>1494</v>
      </c>
      <c r="D247" t="s">
        <v>1842</v>
      </c>
      <c r="E247" t="s">
        <v>1336</v>
      </c>
      <c r="F247" t="str">
        <f>CONCATENATE(SR_Lookup[[#This Row],[Account]]," - ",SR_Lookup[[#This Row],[Account Desc]])</f>
        <v>740248 - Svcs Prof Mgmt/Marketing</v>
      </c>
    </row>
    <row r="248" spans="2:6">
      <c r="B248">
        <v>740251</v>
      </c>
      <c r="C248" t="s">
        <v>808</v>
      </c>
      <c r="D248" t="s">
        <v>1843</v>
      </c>
      <c r="E248" t="s">
        <v>1336</v>
      </c>
      <c r="F248" t="str">
        <f>CONCATENATE(SR_Lookup[[#This Row],[Account]]," - ",SR_Lookup[[#This Row],[Account Desc]])</f>
        <v>740251 - Maintenance IT Hardware</v>
      </c>
    </row>
    <row r="249" spans="2:6">
      <c r="B249">
        <v>740252</v>
      </c>
      <c r="C249" t="s">
        <v>1471</v>
      </c>
      <c r="D249" t="s">
        <v>1842</v>
      </c>
      <c r="E249" t="s">
        <v>1336</v>
      </c>
      <c r="F249" t="str">
        <f>CONCATENATE(SR_Lookup[[#This Row],[Account]]," - ",SR_Lookup[[#This Row],[Account Desc]])</f>
        <v>740252 - Svcs Prof IT/Network</v>
      </c>
    </row>
    <row r="250" spans="2:6">
      <c r="B250">
        <v>740258</v>
      </c>
      <c r="C250" t="s">
        <v>1621</v>
      </c>
      <c r="D250" t="s">
        <v>1842</v>
      </c>
      <c r="E250" t="s">
        <v>1336</v>
      </c>
      <c r="F250" t="str">
        <f>CONCATENATE(SR_Lookup[[#This Row],[Account]]," - ",SR_Lookup[[#This Row],[Account Desc]])</f>
        <v>740258 - Svcs Prof Legal</v>
      </c>
    </row>
    <row r="251" spans="2:6">
      <c r="B251">
        <v>740259</v>
      </c>
      <c r="C251" t="s">
        <v>1622</v>
      </c>
      <c r="D251" t="s">
        <v>1842</v>
      </c>
      <c r="E251" t="s">
        <v>1336</v>
      </c>
      <c r="F251" t="str">
        <f>CONCATENATE(SR_Lookup[[#This Row],[Account]]," - ",SR_Lookup[[#This Row],[Account Desc]])</f>
        <v>740259 - Svcs Prof Medical</v>
      </c>
    </row>
    <row r="252" spans="2:6">
      <c r="B252">
        <v>740261</v>
      </c>
      <c r="C252" t="s">
        <v>812</v>
      </c>
      <c r="D252" t="s">
        <v>1842</v>
      </c>
      <c r="E252" t="s">
        <v>1336</v>
      </c>
      <c r="F252" t="str">
        <f>CONCATENATE(SR_Lookup[[#This Row],[Account]]," - ",SR_Lookup[[#This Row],[Account Desc]])</f>
        <v>740261 - CourtRpt/Transcrpt/Translat</v>
      </c>
    </row>
    <row r="253" spans="2:6">
      <c r="B253">
        <v>740262</v>
      </c>
      <c r="C253" t="s">
        <v>1623</v>
      </c>
      <c r="D253" t="s">
        <v>1842</v>
      </c>
      <c r="E253" t="s">
        <v>1336</v>
      </c>
      <c r="F253" t="str">
        <f>CONCATENATE(SR_Lookup[[#This Row],[Account]]," - ",SR_Lookup[[#This Row],[Account Desc]])</f>
        <v>740262 - Svcs Other Custodial/Janitor</v>
      </c>
    </row>
    <row r="254" spans="2:6">
      <c r="B254">
        <v>740263</v>
      </c>
      <c r="C254" t="s">
        <v>1504</v>
      </c>
      <c r="D254" t="s">
        <v>1842</v>
      </c>
      <c r="E254" t="s">
        <v>1336</v>
      </c>
      <c r="F254" t="str">
        <f>CONCATENATE(SR_Lookup[[#This Row],[Account]]," - ",SR_Lookup[[#This Row],[Account Desc]])</f>
        <v>740263 - Svcs Other Manual/Day Labor</v>
      </c>
    </row>
    <row r="255" spans="2:6">
      <c r="B255">
        <v>740264</v>
      </c>
      <c r="C255" t="s">
        <v>815</v>
      </c>
      <c r="D255" t="s">
        <v>1842</v>
      </c>
      <c r="E255" t="s">
        <v>1336</v>
      </c>
      <c r="F255" t="str">
        <f>CONCATENATE(SR_Lookup[[#This Row],[Account]]," - ",SR_Lookup[[#This Row],[Account Desc]])</f>
        <v>740264 - Guide Money</v>
      </c>
    </row>
    <row r="256" spans="2:6">
      <c r="B256">
        <v>740265</v>
      </c>
      <c r="C256" t="s">
        <v>1624</v>
      </c>
      <c r="D256" t="s">
        <v>1842</v>
      </c>
      <c r="E256" t="s">
        <v>1336</v>
      </c>
      <c r="F256" t="str">
        <f>CONCATENATE(SR_Lookup[[#This Row],[Account]]," - ",SR_Lookup[[#This Row],[Account Desc]])</f>
        <v>740265 - Svcs Prof Audio/Visual</v>
      </c>
    </row>
    <row r="257" spans="2:6">
      <c r="B257">
        <v>740266</v>
      </c>
      <c r="C257" t="s">
        <v>1625</v>
      </c>
      <c r="D257" t="s">
        <v>1842</v>
      </c>
      <c r="E257" t="s">
        <v>1336</v>
      </c>
      <c r="F257" t="str">
        <f>CONCATENATE(SR_Lookup[[#This Row],[Account]]," - ",SR_Lookup[[#This Row],[Account Desc]])</f>
        <v>740266 - Svcs Prof Live Performances</v>
      </c>
    </row>
    <row r="258" spans="2:6">
      <c r="B258">
        <v>740267</v>
      </c>
      <c r="C258" t="s">
        <v>1777</v>
      </c>
      <c r="D258" t="s">
        <v>1842</v>
      </c>
      <c r="E258" t="s">
        <v>1336</v>
      </c>
      <c r="F258" t="str">
        <f>CONCATENATE(SR_Lookup[[#This Row],[Account]]," - ",SR_Lookup[[#This Row],[Account Desc]])</f>
        <v>740267 - Svcs Prof Athl Speaker/Consult</v>
      </c>
    </row>
    <row r="259" spans="2:6">
      <c r="B259">
        <v>740268</v>
      </c>
      <c r="C259" t="s">
        <v>1626</v>
      </c>
      <c r="D259" t="s">
        <v>1842</v>
      </c>
      <c r="E259" t="s">
        <v>1336</v>
      </c>
      <c r="F259" t="str">
        <f>CONCATENATE(SR_Lookup[[#This Row],[Account]]," - ",SR_Lookup[[#This Row],[Account Desc]])</f>
        <v>740268 - Svcs Other Landscaping</v>
      </c>
    </row>
    <row r="260" spans="2:6">
      <c r="B260">
        <v>740269</v>
      </c>
      <c r="C260" t="s">
        <v>819</v>
      </c>
      <c r="D260" t="s">
        <v>1843</v>
      </c>
      <c r="E260" t="s">
        <v>1336</v>
      </c>
      <c r="F260" t="str">
        <f>CONCATENATE(SR_Lookup[[#This Row],[Account]]," - ",SR_Lookup[[#This Row],[Account Desc]])</f>
        <v>740269 - Linen and Laundry Services</v>
      </c>
    </row>
    <row r="261" spans="2:6">
      <c r="B261">
        <v>740270</v>
      </c>
      <c r="C261" t="s">
        <v>820</v>
      </c>
      <c r="D261" t="s">
        <v>1842</v>
      </c>
      <c r="E261" t="s">
        <v>1336</v>
      </c>
      <c r="F261" t="str">
        <f>CONCATENATE(SR_Lookup[[#This Row],[Account]]," - ",SR_Lookup[[#This Row],[Account Desc]])</f>
        <v>740270 - Examination and Testing</v>
      </c>
    </row>
    <row r="262" spans="2:6">
      <c r="B262">
        <v>740272</v>
      </c>
      <c r="C262" t="s">
        <v>821</v>
      </c>
      <c r="D262" t="s">
        <v>1842</v>
      </c>
      <c r="E262" t="s">
        <v>1336</v>
      </c>
      <c r="F262" t="str">
        <f>CONCATENATE(SR_Lookup[[#This Row],[Account]]," - ",SR_Lookup[[#This Row],[Account Desc]])</f>
        <v>740272 - Employee Training</v>
      </c>
    </row>
    <row r="263" spans="2:6">
      <c r="B263">
        <v>740273</v>
      </c>
      <c r="C263" t="s">
        <v>1627</v>
      </c>
      <c r="D263" t="s">
        <v>1842</v>
      </c>
      <c r="E263" t="s">
        <v>1326</v>
      </c>
      <c r="F263" t="str">
        <f>CONCATENATE(SR_Lookup[[#This Row],[Account]]," - ",SR_Lookup[[#This Row],[Account Desc]])</f>
        <v>740273 - Svcs Prof Foreign</v>
      </c>
    </row>
    <row r="264" spans="2:6">
      <c r="B264">
        <v>740274</v>
      </c>
      <c r="C264" t="s">
        <v>823</v>
      </c>
      <c r="D264" t="s">
        <v>1842</v>
      </c>
      <c r="E264" t="s">
        <v>1336</v>
      </c>
      <c r="F264" t="str">
        <f>CONCATENATE(SR_Lookup[[#This Row],[Account]]," - ",SR_Lookup[[#This Row],[Account Desc]])</f>
        <v>740274 - Tchr Res NonRes Ind Cntrct Exm</v>
      </c>
    </row>
    <row r="265" spans="2:6">
      <c r="B265">
        <v>740275</v>
      </c>
      <c r="C265" t="s">
        <v>824</v>
      </c>
      <c r="D265" t="s">
        <v>1842</v>
      </c>
      <c r="E265" t="s">
        <v>1336</v>
      </c>
      <c r="F265" t="str">
        <f>CONCATENATE(SR_Lookup[[#This Row],[Account]]," - ",SR_Lookup[[#This Row],[Account Desc]])</f>
        <v>740275 - Tchr Res NonR Ind Cntr Foreign</v>
      </c>
    </row>
    <row r="266" spans="2:6">
      <c r="B266">
        <v>740281</v>
      </c>
      <c r="C266" t="s">
        <v>825</v>
      </c>
      <c r="D266" t="s">
        <v>1843</v>
      </c>
      <c r="E266" t="s">
        <v>1336</v>
      </c>
      <c r="F266" t="str">
        <f>CONCATENATE(SR_Lookup[[#This Row],[Account]]," - ",SR_Lookup[[#This Row],[Account Desc]])</f>
        <v>740281 - Advertisement Legal &amp; Official</v>
      </c>
    </row>
    <row r="267" spans="2:6">
      <c r="B267">
        <v>740282</v>
      </c>
      <c r="C267" t="s">
        <v>1628</v>
      </c>
      <c r="D267" t="s">
        <v>1843</v>
      </c>
      <c r="E267" t="s">
        <v>1336</v>
      </c>
      <c r="F267" t="str">
        <f>CONCATENATE(SR_Lookup[[#This Row],[Account]]," - ",SR_Lookup[[#This Row],[Account Desc]])</f>
        <v>740282 - Ad/Promotional Employment</v>
      </c>
    </row>
    <row r="268" spans="2:6">
      <c r="B268">
        <v>740283</v>
      </c>
      <c r="C268" t="s">
        <v>827</v>
      </c>
      <c r="D268" t="s">
        <v>1843</v>
      </c>
      <c r="E268" t="s">
        <v>1336</v>
      </c>
      <c r="F268" t="str">
        <f>CONCATENATE(SR_Lookup[[#This Row],[Account]]," - ",SR_Lookup[[#This Row],[Account Desc]])</f>
        <v>740283 - Ads Public Services Notices</v>
      </c>
    </row>
    <row r="269" spans="2:6">
      <c r="B269">
        <v>740284</v>
      </c>
      <c r="C269" t="s">
        <v>1499</v>
      </c>
      <c r="D269" t="s">
        <v>1339</v>
      </c>
      <c r="E269" t="s">
        <v>1336</v>
      </c>
      <c r="F269" t="str">
        <f>CONCATENATE(SR_Lookup[[#This Row],[Account]]," - ",SR_Lookup[[#This Row],[Account Desc]])</f>
        <v>740284 - Ad/Promotional Goods</v>
      </c>
    </row>
    <row r="270" spans="2:6">
      <c r="B270">
        <v>740285</v>
      </c>
      <c r="C270" t="s">
        <v>1500</v>
      </c>
      <c r="D270" t="s">
        <v>1843</v>
      </c>
      <c r="E270" t="s">
        <v>1336</v>
      </c>
      <c r="F270" t="str">
        <f>CONCATENATE(SR_Lookup[[#This Row],[Account]]," - ",SR_Lookup[[#This Row],[Account Desc]])</f>
        <v>740285 - Ad/Promotional Services</v>
      </c>
    </row>
    <row r="271" spans="2:6">
      <c r="B271">
        <v>740286</v>
      </c>
      <c r="C271" t="s">
        <v>830</v>
      </c>
      <c r="D271" t="s">
        <v>1842</v>
      </c>
      <c r="E271" t="s">
        <v>1326</v>
      </c>
      <c r="F271" t="str">
        <f>CONCATENATE(SR_Lookup[[#This Row],[Account]]," - ",SR_Lookup[[#This Row],[Account Desc]])</f>
        <v>740286 - Athletic Promotions</v>
      </c>
    </row>
    <row r="272" spans="2:6">
      <c r="B272">
        <v>740300</v>
      </c>
      <c r="C272" t="s">
        <v>831</v>
      </c>
      <c r="D272" t="s">
        <v>1841</v>
      </c>
      <c r="E272" t="s">
        <v>1336</v>
      </c>
      <c r="F272" t="str">
        <f>CONCATENATE(SR_Lookup[[#This Row],[Account]]," - ",SR_Lookup[[#This Row],[Account Desc]])</f>
        <v>740300 - Budget Printing Dup Restrict</v>
      </c>
    </row>
    <row r="273" spans="2:6">
      <c r="B273">
        <v>740301</v>
      </c>
      <c r="C273" t="s">
        <v>832</v>
      </c>
      <c r="D273" t="s">
        <v>1844</v>
      </c>
      <c r="E273" t="s">
        <v>1336</v>
      </c>
      <c r="F273" t="str">
        <f>CONCATENATE(SR_Lookup[[#This Row],[Account]]," - ",SR_Lookup[[#This Row],[Account Desc]])</f>
        <v>740301 - Printing/Reproduction Services</v>
      </c>
    </row>
    <row r="274" spans="2:6">
      <c r="B274">
        <v>740302</v>
      </c>
      <c r="C274" t="s">
        <v>833</v>
      </c>
      <c r="D274" t="s">
        <v>1844</v>
      </c>
      <c r="E274" t="s">
        <v>1336</v>
      </c>
      <c r="F274" t="str">
        <f>CONCATENATE(SR_Lookup[[#This Row],[Account]]," - ",SR_Lookup[[#This Row],[Account Desc]])</f>
        <v>740302 - PrintRepro Forms</v>
      </c>
    </row>
    <row r="275" spans="2:6">
      <c r="B275">
        <v>740303</v>
      </c>
      <c r="C275" t="s">
        <v>834</v>
      </c>
      <c r="D275" t="s">
        <v>1844</v>
      </c>
      <c r="E275" t="s">
        <v>1336</v>
      </c>
      <c r="F275" t="str">
        <f>CONCATENATE(SR_Lookup[[#This Row],[Account]]," - ",SR_Lookup[[#This Row],[Account Desc]])</f>
        <v>740303 - PrintRepro Duplicating</v>
      </c>
    </row>
    <row r="276" spans="2:6">
      <c r="B276">
        <v>740304</v>
      </c>
      <c r="C276" t="s">
        <v>835</v>
      </c>
      <c r="D276" t="s">
        <v>1844</v>
      </c>
      <c r="E276" t="s">
        <v>1336</v>
      </c>
      <c r="F276" t="str">
        <f>CONCATENATE(SR_Lookup[[#This Row],[Account]]," - ",SR_Lookup[[#This Row],[Account Desc]])</f>
        <v>740304 - PrintRepro Extrnl Publication</v>
      </c>
    </row>
    <row r="277" spans="2:6">
      <c r="B277">
        <v>740305</v>
      </c>
      <c r="C277" t="s">
        <v>836</v>
      </c>
      <c r="D277" t="s">
        <v>1844</v>
      </c>
      <c r="E277" t="s">
        <v>1336</v>
      </c>
      <c r="F277" t="str">
        <f>CONCATENATE(SR_Lookup[[#This Row],[Account]]," - ",SR_Lookup[[#This Row],[Account Desc]])</f>
        <v>740305 - PrintRepro Tickets</v>
      </c>
    </row>
    <row r="278" spans="2:6">
      <c r="B278">
        <v>740306</v>
      </c>
      <c r="C278" t="s">
        <v>837</v>
      </c>
      <c r="D278" t="s">
        <v>1844</v>
      </c>
      <c r="E278" t="s">
        <v>1336</v>
      </c>
      <c r="F278" t="str">
        <f>CONCATENATE(SR_Lookup[[#This Row],[Account]]," - ",SR_Lookup[[#This Row],[Account Desc]])</f>
        <v>740306 - PrintRepro Photo Slide Movie</v>
      </c>
    </row>
    <row r="279" spans="2:6">
      <c r="B279">
        <v>740307</v>
      </c>
      <c r="C279" t="s">
        <v>838</v>
      </c>
      <c r="D279" t="s">
        <v>1844</v>
      </c>
      <c r="E279" t="s">
        <v>1326</v>
      </c>
      <c r="F279" t="str">
        <f>CONCATENATE(SR_Lookup[[#This Row],[Account]]," - ",SR_Lookup[[#This Row],[Account Desc]])</f>
        <v>740307 - PrintRepro Instruction Purpose</v>
      </c>
    </row>
    <row r="280" spans="2:6">
      <c r="B280">
        <v>740308</v>
      </c>
      <c r="C280" t="s">
        <v>839</v>
      </c>
      <c r="D280" t="s">
        <v>1844</v>
      </c>
      <c r="E280" t="s">
        <v>1326</v>
      </c>
      <c r="F280" t="str">
        <f>CONCATENATE(SR_Lookup[[#This Row],[Account]]," - ",SR_Lookup[[#This Row],[Account Desc]])</f>
        <v>740308 - PrintRepro Xerox</v>
      </c>
    </row>
    <row r="281" spans="2:6">
      <c r="B281">
        <v>740309</v>
      </c>
      <c r="C281" t="s">
        <v>840</v>
      </c>
      <c r="D281" t="s">
        <v>1844</v>
      </c>
      <c r="E281" t="s">
        <v>1336</v>
      </c>
      <c r="F281" t="str">
        <f>CONCATENATE(SR_Lookup[[#This Row],[Account]]," - ",SR_Lookup[[#This Row],[Account Desc]])</f>
        <v>740309 - FSU Card Services</v>
      </c>
    </row>
    <row r="282" spans="2:6">
      <c r="B282">
        <v>740310</v>
      </c>
      <c r="C282" t="s">
        <v>841</v>
      </c>
      <c r="D282" t="s">
        <v>1844</v>
      </c>
      <c r="E282" t="s">
        <v>1330</v>
      </c>
      <c r="F282" t="str">
        <f>CONCATENATE(SR_Lookup[[#This Row],[Account]]," - ",SR_Lookup[[#This Row],[Account Desc]])</f>
        <v>740310 - PrintRepro Addressing Svcs</v>
      </c>
    </row>
    <row r="283" spans="2:6">
      <c r="B283">
        <v>740311</v>
      </c>
      <c r="C283" t="s">
        <v>842</v>
      </c>
      <c r="D283" t="s">
        <v>1844</v>
      </c>
      <c r="E283" t="s">
        <v>1335</v>
      </c>
      <c r="F283" t="str">
        <f>CONCATENATE(SR_Lookup[[#This Row],[Account]]," - ",SR_Lookup[[#This Row],[Account Desc]])</f>
        <v>740311 - PrintRepro Binding Expense</v>
      </c>
    </row>
    <row r="284" spans="2:6">
      <c r="B284">
        <v>740350</v>
      </c>
      <c r="C284" t="s">
        <v>843</v>
      </c>
      <c r="D284" t="s">
        <v>1841</v>
      </c>
      <c r="E284" t="s">
        <v>1330</v>
      </c>
      <c r="F284" t="str">
        <f>CONCATENATE(SR_Lookup[[#This Row],[Account]]," - ",SR_Lookup[[#This Row],[Account Desc]])</f>
        <v>740350 - Budget Care Subsistence Restri</v>
      </c>
    </row>
    <row r="285" spans="2:6">
      <c r="B285">
        <v>740351</v>
      </c>
      <c r="C285" t="s">
        <v>844</v>
      </c>
      <c r="D285" t="s">
        <v>1843</v>
      </c>
      <c r="E285" t="s">
        <v>1330</v>
      </c>
      <c r="F285" t="str">
        <f>CONCATENATE(SR_Lookup[[#This Row],[Account]]," - ",SR_Lookup[[#This Row],[Account Desc]])</f>
        <v>740351 - Employee Physical Examinations</v>
      </c>
    </row>
    <row r="286" spans="2:6">
      <c r="B286">
        <v>740352</v>
      </c>
      <c r="C286" t="s">
        <v>845</v>
      </c>
      <c r="D286" t="s">
        <v>1872</v>
      </c>
      <c r="E286" t="s">
        <v>1330</v>
      </c>
      <c r="F286" t="str">
        <f>CONCATENATE(SR_Lookup[[#This Row],[Account]]," - ",SR_Lookup[[#This Row],[Account Desc]])</f>
        <v>740352 - In Patient Care &amp; Subsistence</v>
      </c>
    </row>
    <row r="287" spans="2:6">
      <c r="B287">
        <v>740353</v>
      </c>
      <c r="C287" t="s">
        <v>846</v>
      </c>
      <c r="D287" t="s">
        <v>1872</v>
      </c>
      <c r="E287" t="s">
        <v>1330</v>
      </c>
      <c r="F287" t="str">
        <f>CONCATENATE(SR_Lookup[[#This Row],[Account]]," - ",SR_Lookup[[#This Row],[Account Desc]])</f>
        <v>740353 - Out Patient Care &amp; Subsistence</v>
      </c>
    </row>
    <row r="288" spans="2:6">
      <c r="B288">
        <v>740354</v>
      </c>
      <c r="C288" t="s">
        <v>847</v>
      </c>
      <c r="D288" t="s">
        <v>1842</v>
      </c>
      <c r="E288" t="s">
        <v>1330</v>
      </c>
      <c r="F288" t="str">
        <f>CONCATENATE(SR_Lookup[[#This Row],[Account]]," - ",SR_Lookup[[#This Row],[Account Desc]])</f>
        <v>740354 - Care/Subs Lab Test &amp; Analyses</v>
      </c>
    </row>
    <row r="289" spans="2:6">
      <c r="B289">
        <v>740355</v>
      </c>
      <c r="C289" t="s">
        <v>848</v>
      </c>
      <c r="D289" t="s">
        <v>1393</v>
      </c>
      <c r="E289" t="s">
        <v>1330</v>
      </c>
      <c r="F289" t="str">
        <f>CONCATENATE(SR_Lookup[[#This Row],[Account]]," - ",SR_Lookup[[#This Row],[Account Desc]])</f>
        <v>740355 - Research Participant Incl MTDC</v>
      </c>
    </row>
    <row r="290" spans="2:6">
      <c r="B290">
        <v>740356</v>
      </c>
      <c r="C290" t="s">
        <v>849</v>
      </c>
      <c r="D290" t="s">
        <v>1393</v>
      </c>
      <c r="E290" t="s">
        <v>1330</v>
      </c>
      <c r="F290" t="str">
        <f>CONCATENATE(SR_Lookup[[#This Row],[Account]]," - ",SR_Lookup[[#This Row],[Account Desc]])</f>
        <v>740356 - Subsistence/Maint Allowance</v>
      </c>
    </row>
    <row r="291" spans="2:6">
      <c r="B291">
        <v>740451</v>
      </c>
      <c r="C291" t="s">
        <v>850</v>
      </c>
      <c r="D291" t="s">
        <v>1845</v>
      </c>
      <c r="E291" t="s">
        <v>1330</v>
      </c>
      <c r="F291" t="str">
        <f>CONCATENATE(SR_Lookup[[#This Row],[Account]]," - ",SR_Lookup[[#This Row],[Account Desc]])</f>
        <v>740451 - SubRecipient Incl MTDC</v>
      </c>
    </row>
    <row r="292" spans="2:6">
      <c r="B292">
        <v>740452</v>
      </c>
      <c r="C292" t="s">
        <v>851</v>
      </c>
      <c r="D292" t="s">
        <v>1845</v>
      </c>
      <c r="E292" t="s">
        <v>1330</v>
      </c>
      <c r="F292" t="str">
        <f>CONCATENATE(SR_Lookup[[#This Row],[Account]]," - ",SR_Lookup[[#This Row],[Account Desc]])</f>
        <v>740452 - SubRecipient Excl MTDC</v>
      </c>
    </row>
    <row r="293" spans="2:6">
      <c r="B293">
        <v>740453</v>
      </c>
      <c r="C293" t="s">
        <v>852</v>
      </c>
      <c r="D293" t="s">
        <v>1845</v>
      </c>
      <c r="E293" t="s">
        <v>1330</v>
      </c>
      <c r="F293" t="str">
        <f>CONCATENATE(SR_Lookup[[#This Row],[Account]]," - ",SR_Lookup[[#This Row],[Account Desc]])</f>
        <v>740453 - SubRecipient Incl MTDC FA Wavd</v>
      </c>
    </row>
    <row r="294" spans="2:6">
      <c r="B294">
        <v>740500</v>
      </c>
      <c r="C294" t="s">
        <v>853</v>
      </c>
      <c r="D294" t="s">
        <v>1841</v>
      </c>
      <c r="E294" t="s">
        <v>1330</v>
      </c>
      <c r="F294" t="str">
        <f>CONCATENATE(SR_Lookup[[#This Row],[Account]]," - ",SR_Lookup[[#This Row],[Account Desc]])</f>
        <v>740500 - Budget Domestic Travel Restric</v>
      </c>
    </row>
    <row r="295" spans="2:6">
      <c r="B295">
        <v>740501</v>
      </c>
      <c r="C295" t="s">
        <v>854</v>
      </c>
      <c r="D295" t="s">
        <v>1384</v>
      </c>
      <c r="E295" t="s">
        <v>1330</v>
      </c>
      <c r="F295" t="str">
        <f>CONCATENATE(SR_Lookup[[#This Row],[Account]]," - ",SR_Lookup[[#This Row],[Account Desc]])</f>
        <v>740501 - Travel In State</v>
      </c>
    </row>
    <row r="296" spans="2:6">
      <c r="B296">
        <v>740502</v>
      </c>
      <c r="C296" t="s">
        <v>855</v>
      </c>
      <c r="D296" t="s">
        <v>1384</v>
      </c>
      <c r="E296" t="s">
        <v>1330</v>
      </c>
      <c r="F296" t="str">
        <f>CONCATENATE(SR_Lookup[[#This Row],[Account]]," - ",SR_Lookup[[#This Row],[Account Desc]])</f>
        <v>740502 - Travel Athl In State Staff</v>
      </c>
    </row>
    <row r="297" spans="2:6">
      <c r="B297">
        <v>740503</v>
      </c>
      <c r="C297" t="s">
        <v>856</v>
      </c>
      <c r="D297" t="s">
        <v>1384</v>
      </c>
      <c r="E297" t="s">
        <v>1330</v>
      </c>
      <c r="F297" t="str">
        <f>CONCATENATE(SR_Lookup[[#This Row],[Account]]," - ",SR_Lookup[[#This Row],[Account Desc]])</f>
        <v>740503 - Travel Athl In State Recruit</v>
      </c>
    </row>
    <row r="298" spans="2:6">
      <c r="B298">
        <v>740504</v>
      </c>
      <c r="C298" t="s">
        <v>857</v>
      </c>
      <c r="D298" t="s">
        <v>1384</v>
      </c>
      <c r="E298" t="s">
        <v>1330</v>
      </c>
      <c r="F298" t="str">
        <f>CONCATENATE(SR_Lookup[[#This Row],[Account]]," - ",SR_Lookup[[#This Row],[Account Desc]])</f>
        <v>740504 - Travel Athl In State Prospect</v>
      </c>
    </row>
    <row r="299" spans="2:6">
      <c r="B299">
        <v>740505</v>
      </c>
      <c r="C299" t="s">
        <v>1778</v>
      </c>
      <c r="D299" t="s">
        <v>1384</v>
      </c>
      <c r="E299" t="s">
        <v>1330</v>
      </c>
      <c r="F299" t="str">
        <f>CONCATENATE(SR_Lookup[[#This Row],[Account]]," - ",SR_Lookup[[#This Row],[Account Desc]])</f>
        <v>740505 - Travel Fndtn Meal In-State</v>
      </c>
    </row>
    <row r="300" spans="2:6">
      <c r="B300">
        <v>740521</v>
      </c>
      <c r="C300" t="s">
        <v>858</v>
      </c>
      <c r="D300" t="s">
        <v>1384</v>
      </c>
      <c r="E300" t="s">
        <v>1330</v>
      </c>
      <c r="F300" t="str">
        <f>CONCATENATE(SR_Lookup[[#This Row],[Account]]," - ",SR_Lookup[[#This Row],[Account Desc]])</f>
        <v>740521 - Travel Out of State</v>
      </c>
    </row>
    <row r="301" spans="2:6">
      <c r="B301">
        <v>740522</v>
      </c>
      <c r="C301" t="s">
        <v>859</v>
      </c>
      <c r="D301" t="s">
        <v>1384</v>
      </c>
      <c r="E301" t="s">
        <v>1330</v>
      </c>
      <c r="F301" t="str">
        <f>CONCATENATE(SR_Lookup[[#This Row],[Account]]," - ",SR_Lookup[[#This Row],[Account Desc]])</f>
        <v>740522 - Travel Athl Out of St Staff</v>
      </c>
    </row>
    <row r="302" spans="2:6">
      <c r="B302">
        <v>740523</v>
      </c>
      <c r="C302" t="s">
        <v>860</v>
      </c>
      <c r="D302" t="s">
        <v>1384</v>
      </c>
      <c r="E302" t="s">
        <v>1330</v>
      </c>
      <c r="F302" t="str">
        <f>CONCATENATE(SR_Lookup[[#This Row],[Account]]," - ",SR_Lookup[[#This Row],[Account Desc]])</f>
        <v>740523 - Travel Athl Out of St Recruit</v>
      </c>
    </row>
    <row r="303" spans="2:6">
      <c r="B303">
        <v>740524</v>
      </c>
      <c r="C303" t="s">
        <v>861</v>
      </c>
      <c r="D303" t="s">
        <v>1384</v>
      </c>
      <c r="E303" t="s">
        <v>1330</v>
      </c>
      <c r="F303" t="str">
        <f>CONCATENATE(SR_Lookup[[#This Row],[Account]]," - ",SR_Lookup[[#This Row],[Account Desc]])</f>
        <v>740524 - Travel Athl Out of St Prospect</v>
      </c>
    </row>
    <row r="304" spans="2:6">
      <c r="B304">
        <v>740525</v>
      </c>
      <c r="C304" t="s">
        <v>1779</v>
      </c>
      <c r="D304" t="s">
        <v>1384</v>
      </c>
      <c r="E304" t="s">
        <v>1330</v>
      </c>
      <c r="F304" t="str">
        <f>CONCATENATE(SR_Lookup[[#This Row],[Account]]," - ",SR_Lookup[[#This Row],[Account Desc]])</f>
        <v>740525 - Travel Fndtn Meal Out of State</v>
      </c>
    </row>
    <row r="305" spans="2:6">
      <c r="B305">
        <v>740540</v>
      </c>
      <c r="C305" t="s">
        <v>862</v>
      </c>
      <c r="D305" t="s">
        <v>1841</v>
      </c>
      <c r="E305" t="s">
        <v>1330</v>
      </c>
      <c r="F305" t="str">
        <f>CONCATENATE(SR_Lookup[[#This Row],[Account]]," - ",SR_Lookup[[#This Row],[Account Desc]])</f>
        <v>740540 - Budget Foreign Travel Restrict</v>
      </c>
    </row>
    <row r="306" spans="2:6">
      <c r="B306">
        <v>740541</v>
      </c>
      <c r="C306" t="s">
        <v>863</v>
      </c>
      <c r="D306" t="s">
        <v>1384</v>
      </c>
      <c r="E306" t="s">
        <v>1330</v>
      </c>
      <c r="F306" t="str">
        <f>CONCATENATE(SR_Lookup[[#This Row],[Account]]," - ",SR_Lookup[[#This Row],[Account Desc]])</f>
        <v>740541 - Travel Foreign</v>
      </c>
    </row>
    <row r="307" spans="2:6">
      <c r="B307">
        <v>740542</v>
      </c>
      <c r="C307" t="s">
        <v>864</v>
      </c>
      <c r="D307" t="s">
        <v>1384</v>
      </c>
      <c r="E307" t="s">
        <v>1330</v>
      </c>
      <c r="F307" t="str">
        <f>CONCATENATE(SR_Lookup[[#This Row],[Account]]," - ",SR_Lookup[[#This Row],[Account Desc]])</f>
        <v>740542 - Travel Athl Foreign Staff</v>
      </c>
    </row>
    <row r="308" spans="2:6">
      <c r="B308">
        <v>740543</v>
      </c>
      <c r="C308" t="s">
        <v>865</v>
      </c>
      <c r="D308" t="s">
        <v>1384</v>
      </c>
      <c r="E308" t="s">
        <v>1330</v>
      </c>
      <c r="F308" t="str">
        <f>CONCATENATE(SR_Lookup[[#This Row],[Account]]," - ",SR_Lookup[[#This Row],[Account Desc]])</f>
        <v>740543 - Travel Athl Foreign Recruit</v>
      </c>
    </row>
    <row r="309" spans="2:6">
      <c r="B309">
        <v>740544</v>
      </c>
      <c r="C309" t="s">
        <v>866</v>
      </c>
      <c r="D309" t="s">
        <v>1384</v>
      </c>
      <c r="E309" t="s">
        <v>1330</v>
      </c>
      <c r="F309" t="str">
        <f>CONCATENATE(SR_Lookup[[#This Row],[Account]]," - ",SR_Lookup[[#This Row],[Account Desc]])</f>
        <v>740544 - Travel Athl Foreign Prospect</v>
      </c>
    </row>
    <row r="310" spans="2:6">
      <c r="B310">
        <v>740545</v>
      </c>
      <c r="C310" t="s">
        <v>1780</v>
      </c>
      <c r="D310" t="s">
        <v>1384</v>
      </c>
      <c r="E310" t="s">
        <v>1336</v>
      </c>
      <c r="F310" t="str">
        <f>CONCATENATE(SR_Lookup[[#This Row],[Account]]," - ",SR_Lookup[[#This Row],[Account Desc]])</f>
        <v>740545 - Travel Fndtn Meal Foreign</v>
      </c>
    </row>
    <row r="311" spans="2:6">
      <c r="B311">
        <v>740551</v>
      </c>
      <c r="C311" t="s">
        <v>867</v>
      </c>
      <c r="D311" t="s">
        <v>1384</v>
      </c>
      <c r="E311" t="s">
        <v>1336</v>
      </c>
      <c r="F311" t="str">
        <f>CONCATENATE(SR_Lookup[[#This Row],[Account]]," - ",SR_Lookup[[#This Row],[Account Desc]])</f>
        <v>740551 - Class C Meal Allowance</v>
      </c>
    </row>
    <row r="312" spans="2:6">
      <c r="B312">
        <v>740571</v>
      </c>
      <c r="C312" t="s">
        <v>868</v>
      </c>
      <c r="D312" t="s">
        <v>1384</v>
      </c>
      <c r="E312" t="s">
        <v>1336</v>
      </c>
      <c r="F312" t="str">
        <f>CONCATENATE(SR_Lookup[[#This Row],[Account]]," - ",SR_Lookup[[#This Row],[Account Desc]])</f>
        <v>740571 - Travel Advances</v>
      </c>
    </row>
    <row r="313" spans="2:6">
      <c r="B313">
        <v>740601</v>
      </c>
      <c r="C313" t="s">
        <v>869</v>
      </c>
      <c r="D313" t="s">
        <v>1843</v>
      </c>
      <c r="E313" t="s">
        <v>1336</v>
      </c>
      <c r="F313" t="str">
        <f>CONCATENATE(SR_Lookup[[#This Row],[Account]]," - ",SR_Lookup[[#This Row],[Account Desc]])</f>
        <v>740601 - Moving Paid to Vendor Qualify</v>
      </c>
    </row>
    <row r="314" spans="2:6">
      <c r="B314">
        <v>740602</v>
      </c>
      <c r="C314" t="s">
        <v>870</v>
      </c>
      <c r="D314" t="s">
        <v>1843</v>
      </c>
      <c r="E314" t="s">
        <v>1336</v>
      </c>
      <c r="F314" t="str">
        <f>CONCATENATE(SR_Lookup[[#This Row],[Account]]," - ",SR_Lookup[[#This Row],[Account Desc]])</f>
        <v>740602 - Employee Relocation Qualified</v>
      </c>
    </row>
    <row r="315" spans="2:6">
      <c r="B315">
        <v>740603</v>
      </c>
      <c r="C315" t="s">
        <v>871</v>
      </c>
      <c r="D315" t="s">
        <v>1843</v>
      </c>
      <c r="E315" t="s">
        <v>1336</v>
      </c>
      <c r="F315" t="str">
        <f>CONCATENATE(SR_Lookup[[#This Row],[Account]]," - ",SR_Lookup[[#This Row],[Account Desc]])</f>
        <v>740603 - Moving Nonqualified 3rd Party</v>
      </c>
    </row>
    <row r="316" spans="2:6">
      <c r="B316">
        <v>740604</v>
      </c>
      <c r="C316" t="s">
        <v>1781</v>
      </c>
      <c r="D316" t="s">
        <v>1843</v>
      </c>
      <c r="E316" t="s">
        <v>1326</v>
      </c>
      <c r="F316" t="str">
        <f>CONCATENATE(SR_Lookup[[#This Row],[Account]]," - ",SR_Lookup[[#This Row],[Account Desc]])</f>
        <v>740604 - Employee Relocation</v>
      </c>
    </row>
    <row r="317" spans="2:6">
      <c r="B317">
        <v>740700</v>
      </c>
      <c r="C317" t="s">
        <v>873</v>
      </c>
      <c r="D317" t="s">
        <v>1841</v>
      </c>
      <c r="E317" t="s">
        <v>1326</v>
      </c>
      <c r="F317" t="str">
        <f>CONCATENATE(SR_Lookup[[#This Row],[Account]]," - ",SR_Lookup[[#This Row],[Account Desc]])</f>
        <v>740700 - Budget Communication/Ship Rstr</v>
      </c>
    </row>
    <row r="318" spans="2:6">
      <c r="B318">
        <v>740703</v>
      </c>
      <c r="C318" t="s">
        <v>874</v>
      </c>
      <c r="D318" t="s">
        <v>1843</v>
      </c>
      <c r="E318" t="s">
        <v>1326</v>
      </c>
      <c r="F318" t="str">
        <f>CONCATENATE(SR_Lookup[[#This Row],[Account]]," - ",SR_Lookup[[#This Row],[Account Desc]])</f>
        <v>740703 - Network/Comm Recurring</v>
      </c>
    </row>
    <row r="319" spans="2:6">
      <c r="B319">
        <v>740704</v>
      </c>
      <c r="C319" t="s">
        <v>875</v>
      </c>
      <c r="D319" t="s">
        <v>1843</v>
      </c>
      <c r="E319" t="s">
        <v>1326</v>
      </c>
      <c r="F319" t="str">
        <f>CONCATENATE(SR_Lookup[[#This Row],[Account]]," - ",SR_Lookup[[#This Row],[Account Desc]])</f>
        <v>740704 - Network/Comm Data Circuits</v>
      </c>
    </row>
    <row r="320" spans="2:6">
      <c r="B320">
        <v>740705</v>
      </c>
      <c r="C320" t="s">
        <v>876</v>
      </c>
      <c r="D320" t="s">
        <v>1843</v>
      </c>
      <c r="E320" t="s">
        <v>1330</v>
      </c>
      <c r="F320" t="str">
        <f>CONCATENATE(SR_Lookup[[#This Row],[Account]]," - ",SR_Lookup[[#This Row],[Account Desc]])</f>
        <v>740705 - Telecom Business Local Svc</v>
      </c>
    </row>
    <row r="321" spans="2:6">
      <c r="B321">
        <v>740706</v>
      </c>
      <c r="C321" t="s">
        <v>877</v>
      </c>
      <c r="D321" t="s">
        <v>1843</v>
      </c>
      <c r="E321" t="s">
        <v>1330</v>
      </c>
      <c r="F321" t="str">
        <f>CONCATENATE(SR_Lookup[[#This Row],[Account]]," - ",SR_Lookup[[#This Row],[Account Desc]])</f>
        <v>740706 - Network/Comm Long Distance</v>
      </c>
    </row>
    <row r="322" spans="2:6">
      <c r="B322">
        <v>740707</v>
      </c>
      <c r="C322" t="s">
        <v>878</v>
      </c>
      <c r="D322" t="s">
        <v>1843</v>
      </c>
      <c r="E322" t="s">
        <v>1330</v>
      </c>
      <c r="F322" t="str">
        <f>CONCATENATE(SR_Lookup[[#This Row],[Account]]," - ",SR_Lookup[[#This Row],[Account Desc]])</f>
        <v>740707 - Telecom Business Long Distnce</v>
      </c>
    </row>
    <row r="323" spans="2:6">
      <c r="B323">
        <v>740708</v>
      </c>
      <c r="C323" t="s">
        <v>879</v>
      </c>
      <c r="D323" t="s">
        <v>1843</v>
      </c>
      <c r="E323" t="s">
        <v>1330</v>
      </c>
      <c r="F323" t="str">
        <f>CONCATENATE(SR_Lookup[[#This Row],[Account]]," - ",SR_Lookup[[#This Row],[Account Desc]])</f>
        <v>740708 - Telecom SUNCOM Long Distance</v>
      </c>
    </row>
    <row r="324" spans="2:6">
      <c r="B324">
        <v>740709</v>
      </c>
      <c r="C324" t="s">
        <v>880</v>
      </c>
      <c r="D324" t="s">
        <v>1843</v>
      </c>
      <c r="E324" t="s">
        <v>1336</v>
      </c>
      <c r="F324" t="str">
        <f>CONCATENATE(SR_Lookup[[#This Row],[Account]]," - ",SR_Lookup[[#This Row],[Account Desc]])</f>
        <v>740709 - Telecom Local Oth DGS Archives</v>
      </c>
    </row>
    <row r="325" spans="2:6">
      <c r="B325">
        <v>740710</v>
      </c>
      <c r="C325" t="s">
        <v>881</v>
      </c>
      <c r="D325" t="s">
        <v>1843</v>
      </c>
      <c r="E325" t="s">
        <v>1336</v>
      </c>
      <c r="F325" t="str">
        <f>CONCATENATE(SR_Lookup[[#This Row],[Account]]," - ",SR_Lookup[[#This Row],[Account Desc]])</f>
        <v>740710 - Network/Comm Non Recurring</v>
      </c>
    </row>
    <row r="326" spans="2:6">
      <c r="B326">
        <v>740711</v>
      </c>
      <c r="C326" t="s">
        <v>882</v>
      </c>
      <c r="D326" t="s">
        <v>1843</v>
      </c>
      <c r="E326" t="s">
        <v>1330</v>
      </c>
      <c r="F326" t="str">
        <f>CONCATENATE(SR_Lookup[[#This Row],[Account]]," - ",SR_Lookup[[#This Row],[Account Desc]])</f>
        <v>740711 - Telecom Maintenance Recurring</v>
      </c>
    </row>
    <row r="327" spans="2:6">
      <c r="B327">
        <v>740712</v>
      </c>
      <c r="C327" t="s">
        <v>883</v>
      </c>
      <c r="D327" t="s">
        <v>1843</v>
      </c>
      <c r="E327" t="s">
        <v>1330</v>
      </c>
      <c r="F327" t="str">
        <f>CONCATENATE(SR_Lookup[[#This Row],[Account]]," - ",SR_Lookup[[#This Row],[Account Desc]])</f>
        <v>740712 - Network/Comm Admin/Indirect</v>
      </c>
    </row>
    <row r="328" spans="2:6">
      <c r="B328">
        <v>740713</v>
      </c>
      <c r="C328" t="s">
        <v>1634</v>
      </c>
      <c r="D328" t="s">
        <v>1846</v>
      </c>
      <c r="E328" t="s">
        <v>1330</v>
      </c>
      <c r="F328" t="str">
        <f>CONCATENATE(SR_Lookup[[#This Row],[Account]]," - ",SR_Lookup[[#This Row],[Account Desc]])</f>
        <v>740713 - Network/Comm Rsch Compute Ctr</v>
      </c>
    </row>
    <row r="329" spans="2:6">
      <c r="B329">
        <v>740715</v>
      </c>
      <c r="C329" t="s">
        <v>884</v>
      </c>
      <c r="D329" t="s">
        <v>1841</v>
      </c>
      <c r="E329" t="s">
        <v>1330</v>
      </c>
      <c r="F329" t="str">
        <f>CONCATENATE(SR_Lookup[[#This Row],[Account]]," - ",SR_Lookup[[#This Row],[Account Desc]])</f>
        <v>740715 - Network/Comm CGS Materials</v>
      </c>
    </row>
    <row r="330" spans="2:6">
      <c r="B330">
        <v>740719</v>
      </c>
      <c r="C330" t="s">
        <v>885</v>
      </c>
      <c r="D330" t="s">
        <v>1841</v>
      </c>
      <c r="E330" t="s">
        <v>1330</v>
      </c>
      <c r="F330" t="str">
        <f>CONCATENATE(SR_Lookup[[#This Row],[Account]]," - ",SR_Lookup[[#This Row],[Account Desc]])</f>
        <v>740719 - Network/Comm Inven Over/Short</v>
      </c>
    </row>
    <row r="331" spans="2:6">
      <c r="B331">
        <v>740720</v>
      </c>
      <c r="C331" t="s">
        <v>886</v>
      </c>
      <c r="D331" t="s">
        <v>1339</v>
      </c>
      <c r="E331" t="s">
        <v>1330</v>
      </c>
      <c r="F331" t="str">
        <f>CONCATENATE(SR_Lookup[[#This Row],[Account]]," - ",SR_Lookup[[#This Row],[Account Desc]])</f>
        <v>740720 - Equip Telecom Expendable</v>
      </c>
    </row>
    <row r="332" spans="2:6">
      <c r="B332">
        <v>740721</v>
      </c>
      <c r="C332" t="s">
        <v>887</v>
      </c>
      <c r="D332" t="s">
        <v>1339</v>
      </c>
      <c r="E332" t="s">
        <v>1330</v>
      </c>
      <c r="F332" t="str">
        <f>CONCATENATE(SR_Lookup[[#This Row],[Account]]," - ",SR_Lookup[[#This Row],[Account Desc]])</f>
        <v>740721 - Telecom Supplies &amp; Eq &lt;1000</v>
      </c>
    </row>
    <row r="333" spans="2:6">
      <c r="B333">
        <v>740722</v>
      </c>
      <c r="C333" t="s">
        <v>888</v>
      </c>
      <c r="D333" t="s">
        <v>1843</v>
      </c>
      <c r="E333" t="s">
        <v>1330</v>
      </c>
      <c r="F333" t="str">
        <f>CONCATENATE(SR_Lookup[[#This Row],[Account]]," - ",SR_Lookup[[#This Row],[Account Desc]])</f>
        <v>740722 - Cellular Leases</v>
      </c>
    </row>
    <row r="334" spans="2:6">
      <c r="B334">
        <v>740730</v>
      </c>
      <c r="C334" t="s">
        <v>889</v>
      </c>
      <c r="D334" t="s">
        <v>1843</v>
      </c>
      <c r="E334" t="s">
        <v>1330</v>
      </c>
      <c r="F334" t="str">
        <f>CONCATENATE(SR_Lookup[[#This Row],[Account]]," - ",SR_Lookup[[#This Row],[Account Desc]])</f>
        <v>740730 - Mobile Devices/Services</v>
      </c>
    </row>
    <row r="335" spans="2:6">
      <c r="B335">
        <v>740731</v>
      </c>
      <c r="C335" t="s">
        <v>1635</v>
      </c>
      <c r="D335" t="s">
        <v>1843</v>
      </c>
      <c r="E335" t="s">
        <v>1330</v>
      </c>
      <c r="F335" t="str">
        <f>CONCATENATE(SR_Lookup[[#This Row],[Account]]," - ",SR_Lookup[[#This Row],[Account Desc]])</f>
        <v>740731 - Mobile Devices/Svcs-Allowance</v>
      </c>
    </row>
    <row r="336" spans="2:6">
      <c r="B336">
        <v>740741</v>
      </c>
      <c r="C336" t="s">
        <v>890</v>
      </c>
      <c r="D336" t="s">
        <v>1843</v>
      </c>
      <c r="E336" t="s">
        <v>1326</v>
      </c>
      <c r="F336" t="str">
        <f>CONCATENATE(SR_Lookup[[#This Row],[Account]]," - ",SR_Lookup[[#This Row],[Account Desc]])</f>
        <v>740741 - Computer Network Fees</v>
      </c>
    </row>
    <row r="337" spans="2:6">
      <c r="B337">
        <v>740742</v>
      </c>
      <c r="C337" t="s">
        <v>891</v>
      </c>
      <c r="D337" t="s">
        <v>1843</v>
      </c>
      <c r="E337" t="s">
        <v>1338</v>
      </c>
      <c r="F337" t="str">
        <f>CONCATENATE(SR_Lookup[[#This Row],[Account]]," - ",SR_Lookup[[#This Row],[Account Desc]])</f>
        <v>740742 - Data Non Recurring</v>
      </c>
    </row>
    <row r="338" spans="2:6">
      <c r="B338">
        <v>740750</v>
      </c>
      <c r="C338" t="s">
        <v>1782</v>
      </c>
      <c r="D338" t="s">
        <v>1842</v>
      </c>
      <c r="E338" t="s">
        <v>1338</v>
      </c>
      <c r="F338" t="str">
        <f>CONCATENATE(SR_Lookup[[#This Row],[Account]]," - ",SR_Lookup[[#This Row],[Account Desc]])</f>
        <v>740750 - ITS-Professional Services</v>
      </c>
    </row>
    <row r="339" spans="2:6">
      <c r="B339">
        <v>740751</v>
      </c>
      <c r="C339" t="s">
        <v>1783</v>
      </c>
      <c r="D339" t="s">
        <v>1846</v>
      </c>
      <c r="E339" t="s">
        <v>1338</v>
      </c>
      <c r="F339" t="str">
        <f>CONCATENATE(SR_Lookup[[#This Row],[Account]]," - ",SR_Lookup[[#This Row],[Account Desc]])</f>
        <v>740751 - ITS-File Storage/Virtual Compt</v>
      </c>
    </row>
    <row r="340" spans="2:6">
      <c r="B340">
        <v>740752</v>
      </c>
      <c r="C340" t="s">
        <v>1784</v>
      </c>
      <c r="D340" t="s">
        <v>1843</v>
      </c>
      <c r="E340" t="s">
        <v>1338</v>
      </c>
      <c r="F340" t="str">
        <f>CONCATENATE(SR_Lookup[[#This Row],[Account]]," - ",SR_Lookup[[#This Row],[Account Desc]])</f>
        <v>740752 - ITS-Phone Services</v>
      </c>
    </row>
    <row r="341" spans="2:6">
      <c r="B341">
        <v>740753</v>
      </c>
      <c r="C341" t="s">
        <v>1785</v>
      </c>
      <c r="D341" t="s">
        <v>1843</v>
      </c>
      <c r="E341" t="s">
        <v>1338</v>
      </c>
      <c r="F341" t="str">
        <f>CONCATENATE(SR_Lookup[[#This Row],[Account]]," - ",SR_Lookup[[#This Row],[Account Desc]])</f>
        <v>740753 - Campus Access &amp; Security Svcs</v>
      </c>
    </row>
    <row r="342" spans="2:6">
      <c r="B342">
        <v>740754</v>
      </c>
      <c r="C342" t="s">
        <v>1786</v>
      </c>
      <c r="D342" t="s">
        <v>1843</v>
      </c>
      <c r="E342" t="s">
        <v>1338</v>
      </c>
      <c r="F342" t="str">
        <f>CONCATENATE(SR_Lookup[[#This Row],[Account]]," - ",SR_Lookup[[#This Row],[Account Desc]])</f>
        <v>740754 - ITS-Data Circuit Services</v>
      </c>
    </row>
    <row r="343" spans="2:6">
      <c r="B343">
        <v>740755</v>
      </c>
      <c r="C343" t="s">
        <v>1787</v>
      </c>
      <c r="D343" t="s">
        <v>1843</v>
      </c>
      <c r="E343" t="s">
        <v>1338</v>
      </c>
      <c r="F343" t="str">
        <f>CONCATENATE(SR_Lookup[[#This Row],[Account]]," - ",SR_Lookup[[#This Row],[Account Desc]])</f>
        <v>740755 - ITS-Non-Recurring Labor &amp; Mat</v>
      </c>
    </row>
    <row r="344" spans="2:6">
      <c r="B344">
        <v>740756</v>
      </c>
      <c r="C344" t="s">
        <v>1788</v>
      </c>
      <c r="D344" t="s">
        <v>1846</v>
      </c>
      <c r="E344" t="s">
        <v>1338</v>
      </c>
      <c r="F344" t="str">
        <f>CONCATENATE(SR_Lookup[[#This Row],[Account]]," - ",SR_Lookup[[#This Row],[Account Desc]])</f>
        <v>740756 - ITS-Research Computing</v>
      </c>
    </row>
    <row r="345" spans="2:6">
      <c r="B345">
        <v>740757</v>
      </c>
      <c r="C345" t="s">
        <v>1789</v>
      </c>
      <c r="D345" t="s">
        <v>1843</v>
      </c>
      <c r="E345" t="s">
        <v>1336</v>
      </c>
      <c r="F345" t="str">
        <f>CONCATENATE(SR_Lookup[[#This Row],[Account]]," - ",SR_Lookup[[#This Row],[Account Desc]])</f>
        <v>740757 - ITS-Cellphone Services</v>
      </c>
    </row>
    <row r="346" spans="2:6">
      <c r="B346">
        <v>740758</v>
      </c>
      <c r="C346" t="s">
        <v>1790</v>
      </c>
      <c r="D346" t="s">
        <v>1843</v>
      </c>
      <c r="E346" t="s">
        <v>1338</v>
      </c>
      <c r="F346" t="str">
        <f>CONCATENATE(SR_Lookup[[#This Row],[Account]]," - ",SR_Lookup[[#This Row],[Account Desc]])</f>
        <v>740758 - ITS-Managed Port Fees</v>
      </c>
    </row>
    <row r="347" spans="2:6">
      <c r="B347">
        <v>740759</v>
      </c>
      <c r="C347" t="s">
        <v>1791</v>
      </c>
      <c r="D347" t="s">
        <v>1339</v>
      </c>
      <c r="E347" t="s">
        <v>1336</v>
      </c>
      <c r="F347" t="str">
        <f>CONCATENATE(SR_Lookup[[#This Row],[Account]]," - ",SR_Lookup[[#This Row],[Account Desc]])</f>
        <v>740759 - ITS-Software Licensing Svcs</v>
      </c>
    </row>
    <row r="348" spans="2:6">
      <c r="B348">
        <v>740799</v>
      </c>
      <c r="C348" t="s">
        <v>1792</v>
      </c>
      <c r="D348" t="s">
        <v>1843</v>
      </c>
      <c r="E348" t="s">
        <v>1336</v>
      </c>
      <c r="F348" t="str">
        <f>CONCATENATE(SR_Lookup[[#This Row],[Account]]," - ",SR_Lookup[[#This Row],[Account Desc]])</f>
        <v>740799 - ITS-Admin Fees</v>
      </c>
    </row>
    <row r="349" spans="2:6">
      <c r="B349">
        <v>740800</v>
      </c>
      <c r="C349" t="s">
        <v>1793</v>
      </c>
      <c r="D349" t="s">
        <v>1843</v>
      </c>
      <c r="E349" t="s">
        <v>1336</v>
      </c>
      <c r="F349" t="str">
        <f>CONCATENATE(SR_Lookup[[#This Row],[Account]]," - ",SR_Lookup[[#This Row],[Account Desc]])</f>
        <v>740800 - UTL Facilities Managed</v>
      </c>
    </row>
    <row r="350" spans="2:6">
      <c r="B350">
        <v>740801</v>
      </c>
      <c r="C350" t="s">
        <v>1794</v>
      </c>
      <c r="D350" t="s">
        <v>1843</v>
      </c>
      <c r="E350" t="s">
        <v>1336</v>
      </c>
      <c r="F350" t="str">
        <f>CONCATENATE(SR_Lookup[[#This Row],[Account]]," - ",SR_Lookup[[#This Row],[Account Desc]])</f>
        <v>740801 - UTL NonFacilities Managed</v>
      </c>
    </row>
    <row r="351" spans="2:6">
      <c r="B351">
        <v>740802</v>
      </c>
      <c r="C351" t="s">
        <v>892</v>
      </c>
      <c r="D351" t="s">
        <v>1843</v>
      </c>
      <c r="E351" t="s">
        <v>1336</v>
      </c>
      <c r="F351" t="str">
        <f>CONCATENATE(SR_Lookup[[#This Row],[Account]]," - ",SR_Lookup[[#This Row],[Account Desc]])</f>
        <v>740802 - UTL Electricity</v>
      </c>
    </row>
    <row r="352" spans="2:6">
      <c r="B352">
        <v>740803</v>
      </c>
      <c r="C352" t="s">
        <v>893</v>
      </c>
      <c r="D352" t="s">
        <v>1843</v>
      </c>
      <c r="E352" t="s">
        <v>1336</v>
      </c>
      <c r="F352" t="str">
        <f>CONCATENATE(SR_Lookup[[#This Row],[Account]]," - ",SR_Lookup[[#This Row],[Account Desc]])</f>
        <v>740803 - UTL Outdoor Lighting</v>
      </c>
    </row>
    <row r="353" spans="2:6">
      <c r="B353">
        <v>740804</v>
      </c>
      <c r="C353" t="s">
        <v>894</v>
      </c>
      <c r="D353" t="s">
        <v>1843</v>
      </c>
      <c r="E353" t="s">
        <v>1328</v>
      </c>
      <c r="F353" t="str">
        <f>CONCATENATE(SR_Lookup[[#This Row],[Account]]," - ",SR_Lookup[[#This Row],[Account Desc]])</f>
        <v>740804 - UTL Fire Service Fees</v>
      </c>
    </row>
    <row r="354" spans="2:6">
      <c r="B354">
        <v>740811</v>
      </c>
      <c r="C354" t="s">
        <v>895</v>
      </c>
      <c r="D354" t="s">
        <v>1843</v>
      </c>
      <c r="E354" t="s">
        <v>1336</v>
      </c>
      <c r="F354" t="str">
        <f>CONCATENATE(SR_Lookup[[#This Row],[Account]]," - ",SR_Lookup[[#This Row],[Account Desc]])</f>
        <v>740811 - UTL Natural Gas and LP Gas</v>
      </c>
    </row>
    <row r="355" spans="2:6">
      <c r="B355">
        <v>740821</v>
      </c>
      <c r="C355" t="s">
        <v>896</v>
      </c>
      <c r="D355" t="s">
        <v>1843</v>
      </c>
      <c r="E355" t="s">
        <v>1336</v>
      </c>
      <c r="F355" t="str">
        <f>CONCATENATE(SR_Lookup[[#This Row],[Account]]," - ",SR_Lookup[[#This Row],[Account Desc]])</f>
        <v>740821 - UTL Water</v>
      </c>
    </row>
    <row r="356" spans="2:6">
      <c r="B356">
        <v>740822</v>
      </c>
      <c r="C356" t="s">
        <v>897</v>
      </c>
      <c r="D356" t="s">
        <v>1843</v>
      </c>
      <c r="E356" t="s">
        <v>1336</v>
      </c>
      <c r="F356" t="str">
        <f>CONCATENATE(SR_Lookup[[#This Row],[Account]]," - ",SR_Lookup[[#This Row],[Account Desc]])</f>
        <v>740822 - UTL Sewer</v>
      </c>
    </row>
    <row r="357" spans="2:6">
      <c r="B357">
        <v>740823</v>
      </c>
      <c r="C357" t="s">
        <v>898</v>
      </c>
      <c r="D357" t="s">
        <v>1843</v>
      </c>
      <c r="E357" t="s">
        <v>1336</v>
      </c>
      <c r="F357" t="str">
        <f>CONCATENATE(SR_Lookup[[#This Row],[Account]]," - ",SR_Lookup[[#This Row],[Account Desc]])</f>
        <v>740823 - UTL Chilled Water</v>
      </c>
    </row>
    <row r="358" spans="2:6">
      <c r="B358">
        <v>740824</v>
      </c>
      <c r="C358" t="s">
        <v>899</v>
      </c>
      <c r="D358" t="s">
        <v>1843</v>
      </c>
      <c r="E358" t="s">
        <v>1336</v>
      </c>
      <c r="F358" t="str">
        <f>CONCATENATE(SR_Lookup[[#This Row],[Account]]," - ",SR_Lookup[[#This Row],[Account Desc]])</f>
        <v>740824 - UTL Stormwater Services</v>
      </c>
    </row>
    <row r="359" spans="2:6">
      <c r="B359">
        <v>740831</v>
      </c>
      <c r="C359" t="s">
        <v>900</v>
      </c>
      <c r="D359" t="s">
        <v>1843</v>
      </c>
      <c r="E359" t="s">
        <v>1336</v>
      </c>
      <c r="F359" t="str">
        <f>CONCATENATE(SR_Lookup[[#This Row],[Account]]," - ",SR_Lookup[[#This Row],[Account Desc]])</f>
        <v>740831 - UTL Garbage Disp Svc External</v>
      </c>
    </row>
    <row r="360" spans="2:6">
      <c r="B360">
        <v>740832</v>
      </c>
      <c r="C360" t="s">
        <v>901</v>
      </c>
      <c r="D360" t="s">
        <v>1843</v>
      </c>
      <c r="E360" t="s">
        <v>1326</v>
      </c>
      <c r="F360" t="str">
        <f>CONCATENATE(SR_Lookup[[#This Row],[Account]]," - ",SR_Lookup[[#This Row],[Account Desc]])</f>
        <v>740832 - UTL Garbage Disp Svc Internal</v>
      </c>
    </row>
    <row r="361" spans="2:6">
      <c r="B361">
        <v>740841</v>
      </c>
      <c r="C361" t="s">
        <v>902</v>
      </c>
      <c r="D361" t="s">
        <v>1843</v>
      </c>
      <c r="E361" t="s">
        <v>1336</v>
      </c>
      <c r="F361" t="str">
        <f>CONCATENATE(SR_Lookup[[#This Row],[Account]]," - ",SR_Lookup[[#This Row],[Account Desc]])</f>
        <v>740841 - UTL Steam</v>
      </c>
    </row>
    <row r="362" spans="2:6">
      <c r="B362">
        <v>740852</v>
      </c>
      <c r="C362" t="s">
        <v>903</v>
      </c>
      <c r="D362" t="s">
        <v>1843</v>
      </c>
      <c r="E362" t="s">
        <v>1328</v>
      </c>
      <c r="F362" t="str">
        <f>CONCATENATE(SR_Lookup[[#This Row],[Account]]," - ",SR_Lookup[[#This Row],[Account Desc]])</f>
        <v>740852 - Temporary Billings Utilites</v>
      </c>
    </row>
    <row r="363" spans="2:6">
      <c r="B363">
        <v>740901</v>
      </c>
      <c r="C363" t="s">
        <v>904</v>
      </c>
      <c r="D363" t="s">
        <v>1843</v>
      </c>
      <c r="E363" t="s">
        <v>1336</v>
      </c>
      <c r="F363" t="str">
        <f>CONCATENATE(SR_Lookup[[#This Row],[Account]]," - ",SR_Lookup[[#This Row],[Account Desc]])</f>
        <v>740901 - Repair/Maint Svcs Capital Proj</v>
      </c>
    </row>
    <row r="364" spans="2:6">
      <c r="B364">
        <v>740902</v>
      </c>
      <c r="C364" t="s">
        <v>905</v>
      </c>
      <c r="D364" t="s">
        <v>1843</v>
      </c>
      <c r="E364" t="s">
        <v>1336</v>
      </c>
      <c r="F364" t="str">
        <f>CONCATENATE(SR_Lookup[[#This Row],[Account]]," - ",SR_Lookup[[#This Row],[Account Desc]])</f>
        <v>740902 - Repairs and Maintenance Other</v>
      </c>
    </row>
    <row r="365" spans="2:6">
      <c r="B365">
        <v>740903</v>
      </c>
      <c r="C365" t="s">
        <v>906</v>
      </c>
      <c r="D365" t="s">
        <v>1843</v>
      </c>
      <c r="E365" t="s">
        <v>1336</v>
      </c>
      <c r="F365" t="str">
        <f>CONCATENATE(SR_Lookup[[#This Row],[Account]]," - ",SR_Lookup[[#This Row],[Account Desc]])</f>
        <v>740903 - Repairs &amp; Maintenance Contract</v>
      </c>
    </row>
    <row r="366" spans="2:6">
      <c r="B366">
        <v>740904</v>
      </c>
      <c r="C366" t="s">
        <v>907</v>
      </c>
      <c r="D366" t="s">
        <v>1843</v>
      </c>
      <c r="E366" t="s">
        <v>1336</v>
      </c>
      <c r="F366" t="str">
        <f>CONCATENATE(SR_Lookup[[#This Row],[Account]]," - ",SR_Lookup[[#This Row],[Account Desc]])</f>
        <v>740904 - Building Repair &amp; Maint NonFCO</v>
      </c>
    </row>
    <row r="367" spans="2:6">
      <c r="B367">
        <v>740905</v>
      </c>
      <c r="C367" t="s">
        <v>908</v>
      </c>
      <c r="D367" t="s">
        <v>1843</v>
      </c>
      <c r="E367" t="s">
        <v>1336</v>
      </c>
      <c r="F367" t="str">
        <f>CONCATENATE(SR_Lookup[[#This Row],[Account]]," - ",SR_Lookup[[#This Row],[Account Desc]])</f>
        <v>740905 - R&amp;M Plnt Mch Boilr Elev Etc</v>
      </c>
    </row>
    <row r="368" spans="2:6">
      <c r="B368">
        <v>740906</v>
      </c>
      <c r="C368" t="s">
        <v>909</v>
      </c>
      <c r="D368" t="s">
        <v>1843</v>
      </c>
      <c r="E368" t="s">
        <v>1336</v>
      </c>
      <c r="F368" t="str">
        <f>CONCATENATE(SR_Lookup[[#This Row],[Account]]," - ",SR_Lookup[[#This Row],[Account Desc]])</f>
        <v>740906 - R&amp;M Plant Machine Non-Cntrct</v>
      </c>
    </row>
    <row r="369" spans="2:6">
      <c r="B369">
        <v>740907</v>
      </c>
      <c r="C369" t="s">
        <v>910</v>
      </c>
      <c r="D369" t="s">
        <v>1843</v>
      </c>
      <c r="E369" t="s">
        <v>1342</v>
      </c>
      <c r="F369" t="str">
        <f>CONCATENATE(SR_Lookup[[#This Row],[Account]]," - ",SR_Lookup[[#This Row],[Account Desc]])</f>
        <v>740907 - R&amp;M Plant Machine Contracted</v>
      </c>
    </row>
    <row r="370" spans="2:6">
      <c r="B370">
        <v>740908</v>
      </c>
      <c r="C370" t="s">
        <v>911</v>
      </c>
      <c r="D370" t="s">
        <v>1843</v>
      </c>
      <c r="E370" t="s">
        <v>1336</v>
      </c>
      <c r="F370" t="str">
        <f>CONCATENATE(SR_Lookup[[#This Row],[Account]]," - ",SR_Lookup[[#This Row],[Account Desc]])</f>
        <v>740908 - R&amp;M Field Preparation</v>
      </c>
    </row>
    <row r="371" spans="2:6">
      <c r="B371">
        <v>740909</v>
      </c>
      <c r="C371" t="s">
        <v>912</v>
      </c>
      <c r="D371" t="s">
        <v>1843</v>
      </c>
      <c r="E371" t="s">
        <v>1336</v>
      </c>
      <c r="F371" t="str">
        <f>CONCATENATE(SR_Lookup[[#This Row],[Account]]," - ",SR_Lookup[[#This Row],[Account Desc]])</f>
        <v>740909 - R&amp;M Office Furniture &amp; Equip</v>
      </c>
    </row>
    <row r="372" spans="2:6">
      <c r="B372">
        <v>740910</v>
      </c>
      <c r="C372" t="s">
        <v>913</v>
      </c>
      <c r="D372" t="s">
        <v>1843</v>
      </c>
      <c r="E372" t="s">
        <v>1336</v>
      </c>
      <c r="F372" t="str">
        <f>CONCATENATE(SR_Lookup[[#This Row],[Account]]," - ",SR_Lookup[[#This Row],[Account Desc]])</f>
        <v>740910 - R&amp;M Office Furn &amp; Equip N-Cntr</v>
      </c>
    </row>
    <row r="373" spans="2:6">
      <c r="B373">
        <v>740911</v>
      </c>
      <c r="C373" t="s">
        <v>914</v>
      </c>
      <c r="D373" t="s">
        <v>1843</v>
      </c>
      <c r="E373" t="s">
        <v>1336</v>
      </c>
      <c r="F373" t="str">
        <f>CONCATENATE(SR_Lookup[[#This Row],[Account]]," - ",SR_Lookup[[#This Row],[Account Desc]])</f>
        <v>740911 - R&amp;M Ed Med Ag Res</v>
      </c>
    </row>
    <row r="374" spans="2:6">
      <c r="B374">
        <v>740912</v>
      </c>
      <c r="C374" t="s">
        <v>915</v>
      </c>
      <c r="D374" t="s">
        <v>1843</v>
      </c>
      <c r="E374" t="s">
        <v>1336</v>
      </c>
      <c r="F374" t="str">
        <f>CONCATENATE(SR_Lookup[[#This Row],[Account]]," - ",SR_Lookup[[#This Row],[Account Desc]])</f>
        <v>740912 - R&amp;M Ed Med Ag Res Non Cntr</v>
      </c>
    </row>
    <row r="375" spans="2:6">
      <c r="B375">
        <v>740913</v>
      </c>
      <c r="C375" t="s">
        <v>916</v>
      </c>
      <c r="D375" t="s">
        <v>1843</v>
      </c>
      <c r="E375" t="s">
        <v>1336</v>
      </c>
      <c r="F375" t="str">
        <f>CONCATENATE(SR_Lookup[[#This Row],[Account]]," - ",SR_Lookup[[#This Row],[Account Desc]])</f>
        <v>740913 - R&amp;M Ed Med Ag Res Cntrct</v>
      </c>
    </row>
    <row r="376" spans="2:6">
      <c r="B376">
        <v>740914</v>
      </c>
      <c r="C376" t="s">
        <v>917</v>
      </c>
      <c r="D376" t="s">
        <v>1843</v>
      </c>
      <c r="E376" t="s">
        <v>1336</v>
      </c>
      <c r="F376" t="str">
        <f>CONCATENATE(SR_Lookup[[#This Row],[Account]]," - ",SR_Lookup[[#This Row],[Account Desc]])</f>
        <v>740914 - Repair Maint Computing / IT Eq</v>
      </c>
    </row>
    <row r="377" spans="2:6">
      <c r="B377">
        <v>740915</v>
      </c>
      <c r="C377" t="s">
        <v>918</v>
      </c>
      <c r="D377" t="s">
        <v>1843</v>
      </c>
      <c r="E377" t="s">
        <v>1336</v>
      </c>
      <c r="F377" t="str">
        <f>CONCATENATE(SR_Lookup[[#This Row],[Account]]," - ",SR_Lookup[[#This Row],[Account Desc]])</f>
        <v>740915 - Repair Maint Data Comm Equip</v>
      </c>
    </row>
    <row r="378" spans="2:6">
      <c r="B378">
        <v>740916</v>
      </c>
      <c r="C378" t="s">
        <v>919</v>
      </c>
      <c r="D378" t="s">
        <v>1843</v>
      </c>
      <c r="E378" t="s">
        <v>1336</v>
      </c>
      <c r="F378" t="str">
        <f>CONCATENATE(SR_Lookup[[#This Row],[Account]]," - ",SR_Lookup[[#This Row],[Account Desc]])</f>
        <v>740916 - Maintenance IT Software</v>
      </c>
    </row>
    <row r="379" spans="2:6">
      <c r="B379">
        <v>740917</v>
      </c>
      <c r="C379" t="s">
        <v>920</v>
      </c>
      <c r="D379" t="s">
        <v>1843</v>
      </c>
      <c r="E379" t="s">
        <v>1336</v>
      </c>
      <c r="F379" t="str">
        <f>CONCATENATE(SR_Lookup[[#This Row],[Account]]," - ",SR_Lookup[[#This Row],[Account Desc]])</f>
        <v>740917 - R&amp;M CPU Memeory Etc</v>
      </c>
    </row>
    <row r="380" spans="2:6">
      <c r="B380">
        <v>740918</v>
      </c>
      <c r="C380" t="s">
        <v>921</v>
      </c>
      <c r="D380" t="s">
        <v>1843</v>
      </c>
      <c r="E380" t="s">
        <v>1326</v>
      </c>
      <c r="F380" t="str">
        <f>CONCATENATE(SR_Lookup[[#This Row],[Account]]," - ",SR_Lookup[[#This Row],[Account Desc]])</f>
        <v>740918 - Repair &amp; Maint Disk Devices</v>
      </c>
    </row>
    <row r="381" spans="2:6">
      <c r="B381">
        <v>740919</v>
      </c>
      <c r="C381" t="s">
        <v>922</v>
      </c>
      <c r="D381" t="s">
        <v>1843</v>
      </c>
      <c r="E381" t="s">
        <v>1336</v>
      </c>
      <c r="F381" t="str">
        <f>CONCATENATE(SR_Lookup[[#This Row],[Account]]," - ",SR_Lookup[[#This Row],[Account Desc]])</f>
        <v>740919 - Repair &amp; Maint Tape Devices</v>
      </c>
    </row>
    <row r="382" spans="2:6">
      <c r="B382">
        <v>740920</v>
      </c>
      <c r="C382" t="s">
        <v>923</v>
      </c>
      <c r="D382" t="s">
        <v>1843</v>
      </c>
      <c r="E382" t="s">
        <v>1336</v>
      </c>
      <c r="F382" t="str">
        <f>CONCATENATE(SR_Lookup[[#This Row],[Account]]," - ",SR_Lookup[[#This Row],[Account Desc]])</f>
        <v>740920 - R&amp;M Communications Controllers</v>
      </c>
    </row>
    <row r="383" spans="2:6">
      <c r="B383">
        <v>740921</v>
      </c>
      <c r="C383" t="s">
        <v>924</v>
      </c>
      <c r="D383" t="s">
        <v>1843</v>
      </c>
      <c r="E383" t="s">
        <v>1336</v>
      </c>
      <c r="F383" t="str">
        <f>CONCATENATE(SR_Lookup[[#This Row],[Account]]," - ",SR_Lookup[[#This Row],[Account Desc]])</f>
        <v>740921 - Repair &amp; Maint Terminal Device</v>
      </c>
    </row>
    <row r="384" spans="2:6">
      <c r="B384">
        <v>740922</v>
      </c>
      <c r="C384" t="s">
        <v>1639</v>
      </c>
      <c r="D384" t="s">
        <v>1843</v>
      </c>
      <c r="E384" t="s">
        <v>1336</v>
      </c>
      <c r="F384" t="str">
        <f>CONCATENATE(SR_Lookup[[#This Row],[Account]]," - ",SR_Lookup[[#This Row],[Account Desc]])</f>
        <v>740922 - Repair/Maint Svcs Vehicles</v>
      </c>
    </row>
    <row r="385" spans="2:6">
      <c r="B385">
        <v>740923</v>
      </c>
      <c r="C385" t="s">
        <v>926</v>
      </c>
      <c r="D385" t="s">
        <v>1843</v>
      </c>
      <c r="E385" t="s">
        <v>1336</v>
      </c>
      <c r="F385" t="str">
        <f>CONCATENATE(SR_Lookup[[#This Row],[Account]]," - ",SR_Lookup[[#This Row],[Account Desc]])</f>
        <v>740923 - R&amp;M Vehicles Non Contracted</v>
      </c>
    </row>
    <row r="386" spans="2:6">
      <c r="B386">
        <v>740924</v>
      </c>
      <c r="C386" t="s">
        <v>927</v>
      </c>
      <c r="D386" t="s">
        <v>1843</v>
      </c>
      <c r="E386" t="s">
        <v>1326</v>
      </c>
      <c r="F386" t="str">
        <f>CONCATENATE(SR_Lookup[[#This Row],[Account]]," - ",SR_Lookup[[#This Row],[Account Desc]])</f>
        <v>740924 - R&amp;M Tractor Mower Oth Equip</v>
      </c>
    </row>
    <row r="387" spans="2:6">
      <c r="B387">
        <v>740930</v>
      </c>
      <c r="C387" t="s">
        <v>928</v>
      </c>
      <c r="D387" t="s">
        <v>1843</v>
      </c>
      <c r="E387" t="s">
        <v>1336</v>
      </c>
      <c r="F387" t="str">
        <f>CONCATENATE(SR_Lookup[[#This Row],[Account]]," - ",SR_Lookup[[#This Row],[Account Desc]])</f>
        <v>740930 - Repair/Maint Svcs Facil/Equip</v>
      </c>
    </row>
    <row r="388" spans="2:6">
      <c r="B388">
        <v>741000</v>
      </c>
      <c r="C388" t="s">
        <v>929</v>
      </c>
      <c r="D388" t="s">
        <v>1841</v>
      </c>
      <c r="E388" t="s">
        <v>1326</v>
      </c>
      <c r="F388" t="str">
        <f>CONCATENATE(SR_Lookup[[#This Row],[Account]]," - ",SR_Lookup[[#This Row],[Account Desc]])</f>
        <v>741000 - Budget Material Supplies Restr</v>
      </c>
    </row>
    <row r="389" spans="2:6">
      <c r="B389">
        <v>741001</v>
      </c>
      <c r="C389" t="s">
        <v>930</v>
      </c>
      <c r="D389" t="s">
        <v>1841</v>
      </c>
      <c r="E389" t="s">
        <v>1336</v>
      </c>
      <c r="F389" t="str">
        <f>CONCATENATE(SR_Lookup[[#This Row],[Account]]," - ",SR_Lookup[[#This Row],[Account Desc]])</f>
        <v>741001 - Resale Misc Purchase</v>
      </c>
    </row>
    <row r="390" spans="2:6">
      <c r="B390">
        <v>741002</v>
      </c>
      <c r="C390" t="s">
        <v>931</v>
      </c>
      <c r="D390" t="s">
        <v>1841</v>
      </c>
      <c r="E390" t="s">
        <v>1336</v>
      </c>
      <c r="F390" t="str">
        <f>CONCATENATE(SR_Lookup[[#This Row],[Account]]," - ",SR_Lookup[[#This Row],[Account Desc]])</f>
        <v>741002 - Resale New Books</v>
      </c>
    </row>
    <row r="391" spans="2:6">
      <c r="B391">
        <v>741003</v>
      </c>
      <c r="C391" t="s">
        <v>932</v>
      </c>
      <c r="D391" t="s">
        <v>1841</v>
      </c>
      <c r="E391" t="s">
        <v>1326</v>
      </c>
      <c r="F391" t="str">
        <f>CONCATENATE(SR_Lookup[[#This Row],[Account]]," - ",SR_Lookup[[#This Row],[Account Desc]])</f>
        <v>741003 - Resale Textbooks</v>
      </c>
    </row>
    <row r="392" spans="2:6">
      <c r="B392">
        <v>741004</v>
      </c>
      <c r="C392" t="s">
        <v>933</v>
      </c>
      <c r="D392" t="s">
        <v>1841</v>
      </c>
      <c r="E392" t="s">
        <v>1326</v>
      </c>
      <c r="F392" t="str">
        <f>CONCATENATE(SR_Lookup[[#This Row],[Account]]," - ",SR_Lookup[[#This Row],[Account Desc]])</f>
        <v>741004 - Resale Bus Local Svc</v>
      </c>
    </row>
    <row r="393" spans="2:6">
      <c r="B393">
        <v>741005</v>
      </c>
      <c r="C393" t="s">
        <v>934</v>
      </c>
      <c r="D393" t="s">
        <v>1841</v>
      </c>
      <c r="E393" t="s">
        <v>1326</v>
      </c>
      <c r="F393" t="str">
        <f>CONCATENATE(SR_Lookup[[#This Row],[Account]]," - ",SR_Lookup[[#This Row],[Account Desc]])</f>
        <v>741005 - Resale General Books</v>
      </c>
    </row>
    <row r="394" spans="2:6">
      <c r="B394">
        <v>741006</v>
      </c>
      <c r="C394" t="s">
        <v>935</v>
      </c>
      <c r="D394" t="s">
        <v>1841</v>
      </c>
      <c r="E394" t="s">
        <v>1344</v>
      </c>
      <c r="F394" t="str">
        <f>CONCATENATE(SR_Lookup[[#This Row],[Account]]," - ",SR_Lookup[[#This Row],[Account Desc]])</f>
        <v>741006 - Resale Trade Paperbound</v>
      </c>
    </row>
    <row r="395" spans="2:6">
      <c r="B395">
        <v>741007</v>
      </c>
      <c r="C395" t="s">
        <v>936</v>
      </c>
      <c r="D395" t="s">
        <v>1841</v>
      </c>
      <c r="E395" t="s">
        <v>1326</v>
      </c>
      <c r="F395" t="str">
        <f>CONCATENATE(SR_Lookup[[#This Row],[Account]]," - ",SR_Lookup[[#This Row],[Account Desc]])</f>
        <v>741007 - Resale Magazines</v>
      </c>
    </row>
    <row r="396" spans="2:6">
      <c r="B396">
        <v>741008</v>
      </c>
      <c r="C396" t="s">
        <v>937</v>
      </c>
      <c r="D396" t="s">
        <v>1841</v>
      </c>
      <c r="E396" t="s">
        <v>1336</v>
      </c>
      <c r="F396" t="str">
        <f>CONCATENATE(SR_Lookup[[#This Row],[Account]]," - ",SR_Lookup[[#This Row],[Account Desc]])</f>
        <v>741008 - Resale DupPaper/Supplies</v>
      </c>
    </row>
    <row r="397" spans="2:6">
      <c r="B397">
        <v>741009</v>
      </c>
      <c r="C397" t="s">
        <v>938</v>
      </c>
      <c r="D397" t="s">
        <v>1843</v>
      </c>
      <c r="E397" t="s">
        <v>1326</v>
      </c>
      <c r="F397" t="str">
        <f>CONCATENATE(SR_Lookup[[#This Row],[Account]]," - ",SR_Lookup[[#This Row],[Account Desc]])</f>
        <v>741009 - Resale Goods/Services</v>
      </c>
    </row>
    <row r="398" spans="2:6">
      <c r="B398">
        <v>741010</v>
      </c>
      <c r="C398" t="s">
        <v>939</v>
      </c>
      <c r="D398" t="s">
        <v>1841</v>
      </c>
      <c r="E398" t="s">
        <v>1336</v>
      </c>
      <c r="F398" t="str">
        <f>CONCATENATE(SR_Lookup[[#This Row],[Account]]," - ",SR_Lookup[[#This Row],[Account Desc]])</f>
        <v>741010 - Resale Novelties</v>
      </c>
    </row>
    <row r="399" spans="2:6">
      <c r="B399">
        <v>741011</v>
      </c>
      <c r="C399" t="s">
        <v>940</v>
      </c>
      <c r="D399" t="s">
        <v>1841</v>
      </c>
      <c r="E399" t="s">
        <v>1336</v>
      </c>
      <c r="F399" t="str">
        <f>CONCATENATE(SR_Lookup[[#This Row],[Account]]," - ",SR_Lookup[[#This Row],[Account Desc]])</f>
        <v>741011 - Resale School Supplies</v>
      </c>
    </row>
    <row r="400" spans="2:6">
      <c r="B400">
        <v>741012</v>
      </c>
      <c r="C400" t="s">
        <v>941</v>
      </c>
      <c r="D400" t="s">
        <v>1841</v>
      </c>
      <c r="E400" t="s">
        <v>1336</v>
      </c>
      <c r="F400" t="str">
        <f>CONCATENATE(SR_Lookup[[#This Row],[Account]]," - ",SR_Lookup[[#This Row],[Account Desc]])</f>
        <v>741012 - Resale Utility Costs</v>
      </c>
    </row>
    <row r="401" spans="2:6">
      <c r="B401">
        <v>741013</v>
      </c>
      <c r="C401" t="s">
        <v>942</v>
      </c>
      <c r="D401" t="s">
        <v>1841</v>
      </c>
      <c r="E401" t="s">
        <v>1336</v>
      </c>
      <c r="F401" t="str">
        <f>CONCATENATE(SR_Lookup[[#This Row],[Account]]," - ",SR_Lookup[[#This Row],[Account Desc]])</f>
        <v>741013 - Resale Stationery</v>
      </c>
    </row>
    <row r="402" spans="2:6">
      <c r="B402">
        <v>741014</v>
      </c>
      <c r="C402" t="s">
        <v>943</v>
      </c>
      <c r="D402" t="s">
        <v>1841</v>
      </c>
      <c r="E402" t="s">
        <v>1336</v>
      </c>
      <c r="F402" t="str">
        <f>CONCATENATE(SR_Lookup[[#This Row],[Account]]," - ",SR_Lookup[[#This Row],[Account Desc]])</f>
        <v>741014 - Resale Tobacco &amp; Candy</v>
      </c>
    </row>
    <row r="403" spans="2:6">
      <c r="B403">
        <v>741015</v>
      </c>
      <c r="C403" t="s">
        <v>944</v>
      </c>
      <c r="D403" t="s">
        <v>1841</v>
      </c>
      <c r="E403" t="s">
        <v>1333</v>
      </c>
      <c r="F403" t="str">
        <f>CONCATENATE(SR_Lookup[[#This Row],[Account]]," - ",SR_Lookup[[#This Row],[Account Desc]])</f>
        <v>741015 - Resale Greeting Cards</v>
      </c>
    </row>
    <row r="404" spans="2:6">
      <c r="B404">
        <v>741016</v>
      </c>
      <c r="C404" t="s">
        <v>945</v>
      </c>
      <c r="D404" t="s">
        <v>1841</v>
      </c>
      <c r="E404" t="s">
        <v>1333</v>
      </c>
      <c r="F404" t="str">
        <f>CONCATENATE(SR_Lookup[[#This Row],[Account]]," - ",SR_Lookup[[#This Row],[Account Desc]])</f>
        <v>741016 - Resale Food/Beverages</v>
      </c>
    </row>
    <row r="405" spans="2:6">
      <c r="B405">
        <v>741017</v>
      </c>
      <c r="C405" t="s">
        <v>946</v>
      </c>
      <c r="D405" t="s">
        <v>1841</v>
      </c>
      <c r="E405" t="s">
        <v>1326</v>
      </c>
      <c r="F405" t="str">
        <f>CONCATENATE(SR_Lookup[[#This Row],[Account]]," - ",SR_Lookup[[#This Row],[Account Desc]])</f>
        <v>741017 - Resale Clothing</v>
      </c>
    </row>
    <row r="406" spans="2:6">
      <c r="B406">
        <v>741018</v>
      </c>
      <c r="C406" t="s">
        <v>947</v>
      </c>
      <c r="D406" t="s">
        <v>1841</v>
      </c>
      <c r="E406" t="s">
        <v>1326</v>
      </c>
      <c r="F406" t="str">
        <f>CONCATENATE(SR_Lookup[[#This Row],[Account]]," - ",SR_Lookup[[#This Row],[Account Desc]])</f>
        <v>741018 - Resale Jewelry</v>
      </c>
    </row>
    <row r="407" spans="2:6">
      <c r="B407">
        <v>741019</v>
      </c>
      <c r="C407" t="s">
        <v>948</v>
      </c>
      <c r="D407" t="s">
        <v>1841</v>
      </c>
      <c r="E407" t="s">
        <v>1326</v>
      </c>
      <c r="F407" t="str">
        <f>CONCATENATE(SR_Lookup[[#This Row],[Account]]," - ",SR_Lookup[[#This Row],[Account Desc]])</f>
        <v>741019 - Resale Computer Parts</v>
      </c>
    </row>
    <row r="408" spans="2:6">
      <c r="B408">
        <v>741020</v>
      </c>
      <c r="C408" t="s">
        <v>949</v>
      </c>
      <c r="D408" t="s">
        <v>1841</v>
      </c>
      <c r="E408" t="s">
        <v>1326</v>
      </c>
      <c r="F408" t="str">
        <f>CONCATENATE(SR_Lookup[[#This Row],[Account]]," - ",SR_Lookup[[#This Row],[Account Desc]])</f>
        <v>741020 - Resale Phone Local Service</v>
      </c>
    </row>
    <row r="409" spans="2:6">
      <c r="B409">
        <v>741021</v>
      </c>
      <c r="C409" t="s">
        <v>950</v>
      </c>
      <c r="D409" t="s">
        <v>1841</v>
      </c>
      <c r="E409" t="s">
        <v>1326</v>
      </c>
      <c r="F409" t="str">
        <f>CONCATENATE(SR_Lookup[[#This Row],[Account]]," - ",SR_Lookup[[#This Row],[Account Desc]])</f>
        <v>741021 - Resale LocSvc NonRecur Voice</v>
      </c>
    </row>
    <row r="410" spans="2:6">
      <c r="B410">
        <v>741022</v>
      </c>
      <c r="C410" t="s">
        <v>951</v>
      </c>
      <c r="D410" t="s">
        <v>1841</v>
      </c>
      <c r="E410" t="s">
        <v>1326</v>
      </c>
      <c r="F410" t="str">
        <f>CONCATENATE(SR_Lookup[[#This Row],[Account]]," - ",SR_Lookup[[#This Row],[Account Desc]])</f>
        <v>741022 - Resale Phone Long Distance</v>
      </c>
    </row>
    <row r="411" spans="2:6">
      <c r="B411">
        <v>741101</v>
      </c>
      <c r="C411" t="s">
        <v>952</v>
      </c>
      <c r="D411" t="s">
        <v>1339</v>
      </c>
      <c r="E411" t="s">
        <v>1326</v>
      </c>
      <c r="F411" t="str">
        <f>CONCATENATE(SR_Lookup[[#This Row],[Account]]," - ",SR_Lookup[[#This Row],[Account Desc]])</f>
        <v>741101 - Supplies Office</v>
      </c>
    </row>
    <row r="412" spans="2:6">
      <c r="B412">
        <v>741102</v>
      </c>
      <c r="C412" t="s">
        <v>953</v>
      </c>
      <c r="D412" t="s">
        <v>1339</v>
      </c>
      <c r="E412" t="s">
        <v>1326</v>
      </c>
      <c r="F412" t="str">
        <f>CONCATENATE(SR_Lookup[[#This Row],[Account]]," - ",SR_Lookup[[#This Row],[Account Desc]])</f>
        <v>741102 - Supplies Print/Copy</v>
      </c>
    </row>
    <row r="413" spans="2:6">
      <c r="B413">
        <v>741121</v>
      </c>
      <c r="C413" t="s">
        <v>954</v>
      </c>
      <c r="D413" t="s">
        <v>1339</v>
      </c>
      <c r="E413" t="s">
        <v>1326</v>
      </c>
      <c r="F413" t="str">
        <f>CONCATENATE(SR_Lookup[[#This Row],[Account]]," - ",SR_Lookup[[#This Row],[Account Desc]])</f>
        <v>741121 - Equip Office/Other Expendable</v>
      </c>
    </row>
    <row r="414" spans="2:6">
      <c r="B414">
        <v>741141</v>
      </c>
      <c r="C414" t="s">
        <v>955</v>
      </c>
      <c r="D414" t="s">
        <v>1339</v>
      </c>
      <c r="E414" t="s">
        <v>1326</v>
      </c>
      <c r="F414" t="str">
        <f>CONCATENATE(SR_Lookup[[#This Row],[Account]]," - ",SR_Lookup[[#This Row],[Account Desc]])</f>
        <v>741141 - Information Technology Supply</v>
      </c>
    </row>
    <row r="415" spans="2:6">
      <c r="B415">
        <v>741145</v>
      </c>
      <c r="C415" t="s">
        <v>956</v>
      </c>
      <c r="D415" t="s">
        <v>1339</v>
      </c>
      <c r="E415" t="s">
        <v>1326</v>
      </c>
      <c r="F415" t="str">
        <f>CONCATENATE(SR_Lookup[[#This Row],[Account]]," - ",SR_Lookup[[#This Row],[Account Desc]])</f>
        <v>741145 - Software Expendable</v>
      </c>
    </row>
    <row r="416" spans="2:6">
      <c r="B416">
        <v>741151</v>
      </c>
      <c r="C416" t="s">
        <v>957</v>
      </c>
      <c r="D416" t="s">
        <v>1339</v>
      </c>
      <c r="E416" t="s">
        <v>1344</v>
      </c>
      <c r="F416" t="str">
        <f>CONCATENATE(SR_Lookup[[#This Row],[Account]]," - ",SR_Lookup[[#This Row],[Account Desc]])</f>
        <v>741151 - Computer Equip &lt;1000</v>
      </c>
    </row>
    <row r="417" spans="2:6">
      <c r="B417">
        <v>741152</v>
      </c>
      <c r="C417" t="s">
        <v>958</v>
      </c>
      <c r="D417" t="s">
        <v>1339</v>
      </c>
      <c r="E417" t="s">
        <v>1333</v>
      </c>
      <c r="F417" t="str">
        <f>CONCATENATE(SR_Lookup[[#This Row],[Account]]," - ",SR_Lookup[[#This Row],[Account Desc]])</f>
        <v>741152 - Computer Periph Equip &lt;1000</v>
      </c>
    </row>
    <row r="418" spans="2:6">
      <c r="B418">
        <v>741153</v>
      </c>
      <c r="C418" t="s">
        <v>959</v>
      </c>
      <c r="D418" t="s">
        <v>1339</v>
      </c>
      <c r="E418" t="s">
        <v>1333</v>
      </c>
      <c r="F418" t="str">
        <f>CONCATENATE(SR_Lookup[[#This Row],[Account]]," - ",SR_Lookup[[#This Row],[Account Desc]])</f>
        <v>741153 - Equip Computer/IT Expendable</v>
      </c>
    </row>
    <row r="419" spans="2:6">
      <c r="B419">
        <v>741161</v>
      </c>
      <c r="C419" t="s">
        <v>1503</v>
      </c>
      <c r="D419" t="s">
        <v>1339</v>
      </c>
      <c r="E419" t="s">
        <v>1333</v>
      </c>
      <c r="F419" t="str">
        <f>CONCATENATE(SR_Lookup[[#This Row],[Account]]," - ",SR_Lookup[[#This Row],[Account Desc]])</f>
        <v>741161 - Supplies Audio/Visual</v>
      </c>
    </row>
    <row r="420" spans="2:6">
      <c r="B420">
        <v>741165</v>
      </c>
      <c r="C420" t="s">
        <v>961</v>
      </c>
      <c r="D420" t="s">
        <v>1339</v>
      </c>
      <c r="E420" t="s">
        <v>1333</v>
      </c>
      <c r="F420" t="str">
        <f>CONCATENATE(SR_Lookup[[#This Row],[Account]]," - ",SR_Lookup[[#This Row],[Account Desc]])</f>
        <v>741165 - Equip Audio/Visual Expendable</v>
      </c>
    </row>
    <row r="421" spans="2:6">
      <c r="B421">
        <v>741172</v>
      </c>
      <c r="C421" t="s">
        <v>962</v>
      </c>
      <c r="D421" t="s">
        <v>1339</v>
      </c>
      <c r="E421" t="s">
        <v>1333</v>
      </c>
      <c r="F421" t="str">
        <f>CONCATENATE(SR_Lookup[[#This Row],[Account]]," - ",SR_Lookup[[#This Row],[Account Desc]])</f>
        <v>741172 - Equip Athletic Expendable</v>
      </c>
    </row>
    <row r="422" spans="2:6">
      <c r="B422">
        <v>741173</v>
      </c>
      <c r="C422" t="s">
        <v>963</v>
      </c>
      <c r="D422" t="s">
        <v>1339</v>
      </c>
      <c r="E422" t="s">
        <v>1333</v>
      </c>
      <c r="F422" t="str">
        <f>CONCATENATE(SR_Lookup[[#This Row],[Account]]," - ",SR_Lookup[[#This Row],[Account Desc]])</f>
        <v>741173 - Motor Vehicles Expendable</v>
      </c>
    </row>
    <row r="423" spans="2:6">
      <c r="B423">
        <v>741178</v>
      </c>
      <c r="C423" t="s">
        <v>964</v>
      </c>
      <c r="D423" t="s">
        <v>1339</v>
      </c>
      <c r="E423" t="s">
        <v>1333</v>
      </c>
      <c r="F423" t="str">
        <f>CONCATENATE(SR_Lookup[[#This Row],[Account]]," - ",SR_Lookup[[#This Row],[Account Desc]])</f>
        <v>741178 - Ed Equip Misc Expense</v>
      </c>
    </row>
    <row r="424" spans="2:6">
      <c r="B424">
        <v>741179</v>
      </c>
      <c r="C424" t="s">
        <v>965</v>
      </c>
      <c r="D424" t="s">
        <v>1339</v>
      </c>
      <c r="E424" t="s">
        <v>1333</v>
      </c>
      <c r="F424" t="str">
        <f>CONCATENATE(SR_Lookup[[#This Row],[Account]]," - ",SR_Lookup[[#This Row],[Account Desc]])</f>
        <v>741179 - Musical Instruments Expendable</v>
      </c>
    </row>
    <row r="425" spans="2:6">
      <c r="B425">
        <v>741181</v>
      </c>
      <c r="C425" t="s">
        <v>1502</v>
      </c>
      <c r="D425" t="s">
        <v>1339</v>
      </c>
      <c r="E425" t="s">
        <v>1333</v>
      </c>
      <c r="F425" t="str">
        <f>CONCATENATE(SR_Lookup[[#This Row],[Account]]," - ",SR_Lookup[[#This Row],[Account Desc]])</f>
        <v>741181 - Lab Use Fees</v>
      </c>
    </row>
    <row r="426" spans="2:6">
      <c r="B426">
        <v>741182</v>
      </c>
      <c r="C426" t="s">
        <v>967</v>
      </c>
      <c r="D426" t="s">
        <v>1339</v>
      </c>
      <c r="E426" t="s">
        <v>1333</v>
      </c>
      <c r="F426" t="str">
        <f>CONCATENATE(SR_Lookup[[#This Row],[Account]]," - ",SR_Lookup[[#This Row],[Account Desc]])</f>
        <v>741182 - Ed S Demurrage Charges</v>
      </c>
    </row>
    <row r="427" spans="2:6">
      <c r="B427">
        <v>741183</v>
      </c>
      <c r="C427" t="s">
        <v>968</v>
      </c>
      <c r="D427" t="s">
        <v>1339</v>
      </c>
      <c r="E427" t="s">
        <v>1333</v>
      </c>
      <c r="F427" t="str">
        <f>CONCATENATE(SR_Lookup[[#This Row],[Account]]," - ",SR_Lookup[[#This Row],[Account Desc]])</f>
        <v>741183 - Ed S Glassware</v>
      </c>
    </row>
    <row r="428" spans="2:6">
      <c r="B428">
        <v>741191</v>
      </c>
      <c r="C428" t="s">
        <v>969</v>
      </c>
      <c r="D428" t="s">
        <v>1339</v>
      </c>
      <c r="E428" t="s">
        <v>1326</v>
      </c>
      <c r="F428" t="str">
        <f>CONCATENATE(SR_Lookup[[#This Row],[Account]]," - ",SR_Lookup[[#This Row],[Account Desc]])</f>
        <v>741191 - Equip Lab/Medical Expendable</v>
      </c>
    </row>
    <row r="429" spans="2:6">
      <c r="B429">
        <v>741251</v>
      </c>
      <c r="C429" t="s">
        <v>970</v>
      </c>
      <c r="D429" t="s">
        <v>1339</v>
      </c>
      <c r="E429" t="s">
        <v>1326</v>
      </c>
      <c r="F429" t="str">
        <f>CONCATENATE(SR_Lookup[[#This Row],[Account]]," - ",SR_Lookup[[#This Row],[Account Desc]])</f>
        <v>741251 - Supplies Educational</v>
      </c>
    </row>
    <row r="430" spans="2:6">
      <c r="B430">
        <v>741252</v>
      </c>
      <c r="C430" t="s">
        <v>1273</v>
      </c>
      <c r="D430" t="s">
        <v>1339</v>
      </c>
      <c r="E430" t="s">
        <v>1333</v>
      </c>
      <c r="F430" t="str">
        <f>CONCATENATE(SR_Lookup[[#This Row],[Account]]," - ",SR_Lookup[[#This Row],[Account Desc]])</f>
        <v>741252 - Non Library Pub/Book Exp</v>
      </c>
    </row>
    <row r="431" spans="2:6">
      <c r="B431">
        <v>741255</v>
      </c>
      <c r="C431" t="s">
        <v>972</v>
      </c>
      <c r="D431" t="s">
        <v>1339</v>
      </c>
      <c r="E431" t="s">
        <v>1326</v>
      </c>
      <c r="F431" t="str">
        <f>CONCATENATE(SR_Lookup[[#This Row],[Account]]," - ",SR_Lookup[[#This Row],[Account Desc]])</f>
        <v>741255 - Ed S Other Instr Supplies</v>
      </c>
    </row>
    <row r="432" spans="2:6">
      <c r="B432">
        <v>741271</v>
      </c>
      <c r="C432" t="s">
        <v>973</v>
      </c>
      <c r="D432" t="s">
        <v>1339</v>
      </c>
      <c r="E432" t="s">
        <v>1326</v>
      </c>
      <c r="F432" t="str">
        <f>CONCATENATE(SR_Lookup[[#This Row],[Account]]," - ",SR_Lookup[[#This Row],[Account Desc]])</f>
        <v>741271 - Supplies Lab/Medical Other</v>
      </c>
    </row>
    <row r="433" spans="2:6">
      <c r="B433">
        <v>741272</v>
      </c>
      <c r="C433" t="s">
        <v>974</v>
      </c>
      <c r="D433" t="s">
        <v>1339</v>
      </c>
      <c r="E433" t="s">
        <v>1326</v>
      </c>
      <c r="F433" t="str">
        <f>CONCATENATE(SR_Lookup[[#This Row],[Account]]," - ",SR_Lookup[[#This Row],[Account Desc]])</f>
        <v>741272 - Supplies Lab/Medical Drugs</v>
      </c>
    </row>
    <row r="434" spans="2:6">
      <c r="B434">
        <v>741281</v>
      </c>
      <c r="C434" t="s">
        <v>975</v>
      </c>
      <c r="D434" t="s">
        <v>1339</v>
      </c>
      <c r="E434" t="s">
        <v>1326</v>
      </c>
      <c r="F434" t="str">
        <f>CONCATENATE(SR_Lookup[[#This Row],[Account]]," - ",SR_Lookup[[#This Row],[Account Desc]])</f>
        <v>741281 - Supplies Landscaping</v>
      </c>
    </row>
    <row r="435" spans="2:6">
      <c r="B435">
        <v>741282</v>
      </c>
      <c r="C435" t="s">
        <v>976</v>
      </c>
      <c r="D435" t="s">
        <v>1339</v>
      </c>
      <c r="E435" t="s">
        <v>1326</v>
      </c>
      <c r="F435" t="str">
        <f>CONCATENATE(SR_Lookup[[#This Row],[Account]]," - ",SR_Lookup[[#This Row],[Account Desc]])</f>
        <v>741282 - Supplies Lab/Medical Animal</v>
      </c>
    </row>
    <row r="436" spans="2:6">
      <c r="B436">
        <v>741301</v>
      </c>
      <c r="C436" t="s">
        <v>977</v>
      </c>
      <c r="D436" t="s">
        <v>1339</v>
      </c>
      <c r="E436" t="s">
        <v>1326</v>
      </c>
      <c r="F436" t="str">
        <f>CONCATENATE(SR_Lookup[[#This Row],[Account]]," - ",SR_Lookup[[#This Row],[Account Desc]])</f>
        <v>741301 - Food Products/Services</v>
      </c>
    </row>
    <row r="437" spans="2:6">
      <c r="B437">
        <v>741302</v>
      </c>
      <c r="C437" t="s">
        <v>1795</v>
      </c>
      <c r="D437" t="s">
        <v>1843</v>
      </c>
      <c r="E437" t="s">
        <v>1326</v>
      </c>
      <c r="F437" t="str">
        <f>CONCATENATE(SR_Lookup[[#This Row],[Account]]," - ",SR_Lookup[[#This Row],[Account Desc]])</f>
        <v>741302 - Food Prod/Svc-Recruiting Meals</v>
      </c>
    </row>
    <row r="438" spans="2:6">
      <c r="B438">
        <v>741303</v>
      </c>
      <c r="C438" t="s">
        <v>1796</v>
      </c>
      <c r="D438" t="s">
        <v>1843</v>
      </c>
      <c r="E438" t="s">
        <v>1326</v>
      </c>
      <c r="F438" t="str">
        <f>CONCATENATE(SR_Lookup[[#This Row],[Account]]," - ",SR_Lookup[[#This Row],[Account Desc]])</f>
        <v>741303 - Food Prod/Svc-Home Competition</v>
      </c>
    </row>
    <row r="439" spans="2:6">
      <c r="B439">
        <v>741304</v>
      </c>
      <c r="C439" t="s">
        <v>1797</v>
      </c>
      <c r="D439" t="s">
        <v>1843</v>
      </c>
      <c r="E439" t="s">
        <v>1333</v>
      </c>
      <c r="F439" t="str">
        <f>CONCATENATE(SR_Lookup[[#This Row],[Account]]," - ",SR_Lookup[[#This Row],[Account Desc]])</f>
        <v>741304 - Food Prod/Svc-Athletic Staff</v>
      </c>
    </row>
    <row r="440" spans="2:6">
      <c r="B440">
        <v>741321</v>
      </c>
      <c r="C440" t="s">
        <v>979</v>
      </c>
      <c r="D440" t="s">
        <v>1339</v>
      </c>
      <c r="E440" t="s">
        <v>1333</v>
      </c>
      <c r="F440" t="str">
        <f>CONCATENATE(SR_Lookup[[#This Row],[Account]]," - ",SR_Lookup[[#This Row],[Account Desc]])</f>
        <v>741321 - Food Svc Equip &lt;1000</v>
      </c>
    </row>
    <row r="441" spans="2:6">
      <c r="B441">
        <v>741331</v>
      </c>
      <c r="C441" t="s">
        <v>980</v>
      </c>
      <c r="D441" t="s">
        <v>1339</v>
      </c>
      <c r="E441" t="s">
        <v>1333</v>
      </c>
      <c r="F441" t="str">
        <f>CONCATENATE(SR_Lookup[[#This Row],[Account]]," - ",SR_Lookup[[#This Row],[Account Desc]])</f>
        <v>741331 - Bedding and Textile Supplies</v>
      </c>
    </row>
    <row r="442" spans="2:6">
      <c r="B442">
        <v>741332</v>
      </c>
      <c r="C442" t="s">
        <v>981</v>
      </c>
      <c r="D442" t="s">
        <v>1843</v>
      </c>
      <c r="E442" t="s">
        <v>1333</v>
      </c>
      <c r="F442" t="str">
        <f>CONCATENATE(SR_Lookup[[#This Row],[Account]]," - ",SR_Lookup[[#This Row],[Account Desc]])</f>
        <v>741332 - Uniforms/Clothing Non Employee</v>
      </c>
    </row>
    <row r="443" spans="2:6">
      <c r="B443">
        <v>741333</v>
      </c>
      <c r="C443" t="s">
        <v>982</v>
      </c>
      <c r="D443" t="s">
        <v>1339</v>
      </c>
      <c r="E443" t="s">
        <v>1344</v>
      </c>
      <c r="F443" t="str">
        <f>CONCATENATE(SR_Lookup[[#This Row],[Account]]," - ",SR_Lookup[[#This Row],[Account Desc]])</f>
        <v>741333 - Player Supplies</v>
      </c>
    </row>
    <row r="444" spans="2:6">
      <c r="B444">
        <v>741334</v>
      </c>
      <c r="C444" t="s">
        <v>983</v>
      </c>
      <c r="D444" t="s">
        <v>1843</v>
      </c>
      <c r="E444" t="s">
        <v>1333</v>
      </c>
      <c r="F444" t="str">
        <f>CONCATENATE(SR_Lookup[[#This Row],[Account]]," - ",SR_Lookup[[#This Row],[Account Desc]])</f>
        <v>741334 - Linen</v>
      </c>
    </row>
    <row r="445" spans="2:6">
      <c r="B445">
        <v>741335</v>
      </c>
      <c r="C445" t="s">
        <v>984</v>
      </c>
      <c r="D445" t="s">
        <v>1843</v>
      </c>
      <c r="E445" t="s">
        <v>1326</v>
      </c>
      <c r="F445" t="str">
        <f>CONCATENATE(SR_Lookup[[#This Row],[Account]]," - ",SR_Lookup[[#This Row],[Account Desc]])</f>
        <v>741335 - Uniforms/Clothing Employee</v>
      </c>
    </row>
    <row r="446" spans="2:6">
      <c r="B446">
        <v>741361</v>
      </c>
      <c r="C446" t="s">
        <v>985</v>
      </c>
      <c r="D446" t="s">
        <v>1843</v>
      </c>
      <c r="E446" t="s">
        <v>1326</v>
      </c>
      <c r="F446" t="str">
        <f>CONCATENATE(SR_Lookup[[#This Row],[Account]]," - ",SR_Lookup[[#This Row],[Account Desc]])</f>
        <v>741361 - Equip Maintenance Expendable</v>
      </c>
    </row>
    <row r="447" spans="2:6">
      <c r="B447">
        <v>741365</v>
      </c>
      <c r="C447" t="s">
        <v>986</v>
      </c>
      <c r="D447" t="s">
        <v>1339</v>
      </c>
      <c r="E447" t="s">
        <v>1326</v>
      </c>
      <c r="F447" t="str">
        <f>CONCATENATE(SR_Lookup[[#This Row],[Account]]," - ",SR_Lookup[[#This Row],[Account Desc]])</f>
        <v>741365 - Janitorial Chemical Supplies</v>
      </c>
    </row>
    <row r="448" spans="2:6">
      <c r="B448">
        <v>741366</v>
      </c>
      <c r="C448" t="s">
        <v>987</v>
      </c>
      <c r="D448" t="s">
        <v>1339</v>
      </c>
      <c r="E448" t="s">
        <v>1326</v>
      </c>
      <c r="F448" t="str">
        <f>CONCATENATE(SR_Lookup[[#This Row],[Account]]," - ",SR_Lookup[[#This Row],[Account Desc]])</f>
        <v>741366 - Janitorial Facilities Supplies</v>
      </c>
    </row>
    <row r="449" spans="2:6">
      <c r="B449">
        <v>741367</v>
      </c>
      <c r="C449" t="s">
        <v>988</v>
      </c>
      <c r="D449" t="s">
        <v>1339</v>
      </c>
      <c r="E449" t="s">
        <v>1326</v>
      </c>
      <c r="F449" t="str">
        <f>CONCATENATE(SR_Lookup[[#This Row],[Account]]," - ",SR_Lookup[[#This Row],[Account Desc]])</f>
        <v>741367 - Janitorial Equip&lt;1000 Facilit</v>
      </c>
    </row>
    <row r="450" spans="2:6">
      <c r="B450">
        <v>741368</v>
      </c>
      <c r="C450" t="s">
        <v>989</v>
      </c>
      <c r="D450" t="s">
        <v>1339</v>
      </c>
      <c r="E450" t="s">
        <v>1326</v>
      </c>
      <c r="F450" t="str">
        <f>CONCATENATE(SR_Lookup[[#This Row],[Account]]," - ",SR_Lookup[[#This Row],[Account Desc]])</f>
        <v>741368 - Janitorial Paper Good Supplies</v>
      </c>
    </row>
    <row r="451" spans="2:6">
      <c r="B451">
        <v>741371</v>
      </c>
      <c r="C451" t="s">
        <v>990</v>
      </c>
      <c r="D451" t="s">
        <v>1339</v>
      </c>
      <c r="E451" t="s">
        <v>1326</v>
      </c>
      <c r="F451" t="str">
        <f>CONCATENATE(SR_Lookup[[#This Row],[Account]]," - ",SR_Lookup[[#This Row],[Account Desc]])</f>
        <v>741371 - Maint. Heating Supplies Other</v>
      </c>
    </row>
    <row r="452" spans="2:6">
      <c r="B452">
        <v>741372</v>
      </c>
      <c r="C452" t="s">
        <v>991</v>
      </c>
      <c r="D452" t="s">
        <v>1339</v>
      </c>
      <c r="E452" t="s">
        <v>1326</v>
      </c>
      <c r="F452" t="str">
        <f>CONCATENATE(SR_Lookup[[#This Row],[Account]]," - ",SR_Lookup[[#This Row],[Account Desc]])</f>
        <v>741372 - Supplies Janitorial</v>
      </c>
    </row>
    <row r="453" spans="2:6">
      <c r="B453">
        <v>741375</v>
      </c>
      <c r="C453" t="s">
        <v>992</v>
      </c>
      <c r="D453" t="s">
        <v>1339</v>
      </c>
      <c r="E453" t="s">
        <v>1326</v>
      </c>
      <c r="F453" t="str">
        <f>CONCATENATE(SR_Lookup[[#This Row],[Account]]," - ",SR_Lookup[[#This Row],[Account Desc]])</f>
        <v>741375 - Minor Tools</v>
      </c>
    </row>
    <row r="454" spans="2:6">
      <c r="B454">
        <v>741376</v>
      </c>
      <c r="C454" t="s">
        <v>993</v>
      </c>
      <c r="D454" t="s">
        <v>1339</v>
      </c>
      <c r="E454" t="s">
        <v>1326</v>
      </c>
      <c r="F454" t="str">
        <f>CONCATENATE(SR_Lookup[[#This Row],[Account]]," - ",SR_Lookup[[#This Row],[Account Desc]])</f>
        <v>741376 - Supplies Maintenance</v>
      </c>
    </row>
    <row r="455" spans="2:6">
      <c r="B455">
        <v>741381</v>
      </c>
      <c r="C455" t="s">
        <v>994</v>
      </c>
      <c r="D455" t="s">
        <v>1339</v>
      </c>
      <c r="E455" t="s">
        <v>1326</v>
      </c>
      <c r="F455" t="str">
        <f>CONCATENATE(SR_Lookup[[#This Row],[Account]]," - ",SR_Lookup[[#This Row],[Account Desc]])</f>
        <v>741381 - Gas/Fuel/Lube Fuel Oil No 6</v>
      </c>
    </row>
    <row r="456" spans="2:6">
      <c r="B456">
        <v>741382</v>
      </c>
      <c r="C456" t="s">
        <v>995</v>
      </c>
      <c r="D456" t="s">
        <v>1339</v>
      </c>
      <c r="E456" t="s">
        <v>1326</v>
      </c>
      <c r="F456" t="str">
        <f>CONCATENATE(SR_Lookup[[#This Row],[Account]]," - ",SR_Lookup[[#This Row],[Account Desc]])</f>
        <v>741382 - Gas/Fuel/Lube Fuel Oil No 2</v>
      </c>
    </row>
    <row r="457" spans="2:6">
      <c r="B457">
        <v>741383</v>
      </c>
      <c r="C457" t="s">
        <v>996</v>
      </c>
      <c r="D457" t="s">
        <v>1339</v>
      </c>
      <c r="E457" t="s">
        <v>1326</v>
      </c>
      <c r="F457" t="str">
        <f>CONCATENATE(SR_Lookup[[#This Row],[Account]]," - ",SR_Lookup[[#This Row],[Account Desc]])</f>
        <v>741383 - Gas/Fuel/Lube LP Gas</v>
      </c>
    </row>
    <row r="458" spans="2:6">
      <c r="B458">
        <v>741385</v>
      </c>
      <c r="C458" t="s">
        <v>997</v>
      </c>
      <c r="D458" t="s">
        <v>1339</v>
      </c>
      <c r="E458" t="s">
        <v>1326</v>
      </c>
      <c r="F458" t="str">
        <f>CONCATENATE(SR_Lookup[[#This Row],[Account]]," - ",SR_Lookup[[#This Row],[Account Desc]])</f>
        <v>741385 - Supplies Lab/Medical Gas/Chem</v>
      </c>
    </row>
    <row r="459" spans="2:6">
      <c r="B459">
        <v>741391</v>
      </c>
      <c r="C459" t="s">
        <v>998</v>
      </c>
      <c r="D459" t="s">
        <v>1339</v>
      </c>
      <c r="E459" t="s">
        <v>1326</v>
      </c>
      <c r="F459" t="str">
        <f>CONCATENATE(SR_Lookup[[#This Row],[Account]]," - ",SR_Lookup[[#This Row],[Account Desc]])</f>
        <v>741391 - Gasoline/Fuel/Lubricants</v>
      </c>
    </row>
    <row r="460" spans="2:6">
      <c r="B460">
        <v>741392</v>
      </c>
      <c r="C460" t="s">
        <v>999</v>
      </c>
      <c r="D460" t="s">
        <v>1339</v>
      </c>
      <c r="E460" t="s">
        <v>1326</v>
      </c>
      <c r="F460" t="str">
        <f>CONCATENATE(SR_Lookup[[#This Row],[Account]]," - ",SR_Lookup[[#This Row],[Account Desc]])</f>
        <v>741392 - Gas/Fuel/Lube Motor</v>
      </c>
    </row>
    <row r="461" spans="2:6">
      <c r="B461">
        <v>741393</v>
      </c>
      <c r="C461" t="s">
        <v>1000</v>
      </c>
      <c r="D461" t="s">
        <v>1339</v>
      </c>
      <c r="E461" t="s">
        <v>1326</v>
      </c>
      <c r="F461" t="str">
        <f>CONCATENATE(SR_Lookup[[#This Row],[Account]]," - ",SR_Lookup[[#This Row],[Account Desc]])</f>
        <v>741393 - Gas/Fuel/Lube Diesel Fuel</v>
      </c>
    </row>
    <row r="462" spans="2:6">
      <c r="B462">
        <v>741395</v>
      </c>
      <c r="C462" t="s">
        <v>1001</v>
      </c>
      <c r="D462" t="s">
        <v>1339</v>
      </c>
      <c r="E462" t="s">
        <v>1326</v>
      </c>
      <c r="F462" t="str">
        <f>CONCATENATE(SR_Lookup[[#This Row],[Account]]," - ",SR_Lookup[[#This Row],[Account Desc]])</f>
        <v>741395 - Gas/Fuel/Lube Lubricants</v>
      </c>
    </row>
    <row r="463" spans="2:6">
      <c r="B463">
        <v>741396</v>
      </c>
      <c r="C463" t="s">
        <v>1002</v>
      </c>
      <c r="D463" t="s">
        <v>1339</v>
      </c>
      <c r="E463" t="s">
        <v>1326</v>
      </c>
      <c r="F463" t="str">
        <f>CONCATENATE(SR_Lookup[[#This Row],[Account]]," - ",SR_Lookup[[#This Row],[Account Desc]])</f>
        <v>741396 - Gas/Fuel/Lube Kerosene</v>
      </c>
    </row>
    <row r="464" spans="2:6">
      <c r="B464">
        <v>741401</v>
      </c>
      <c r="C464" t="s">
        <v>1003</v>
      </c>
      <c r="D464" t="s">
        <v>1339</v>
      </c>
      <c r="E464" t="s">
        <v>1326</v>
      </c>
      <c r="F464" t="str">
        <f>CONCATENATE(SR_Lookup[[#This Row],[Account]]," - ",SR_Lookup[[#This Row],[Account Desc]])</f>
        <v>741401 - Non Travel Reimbursements</v>
      </c>
    </row>
    <row r="465" spans="2:6">
      <c r="B465">
        <v>741420</v>
      </c>
      <c r="C465" t="s">
        <v>1234</v>
      </c>
      <c r="D465" t="s">
        <v>1339</v>
      </c>
      <c r="E465" t="s">
        <v>1326</v>
      </c>
      <c r="F465" t="str">
        <f>CONCATENATE(SR_Lookup[[#This Row],[Account]]," - ",SR_Lookup[[#This Row],[Account Desc]])</f>
        <v>741420 - Supplies Other</v>
      </c>
    </row>
    <row r="466" spans="2:6">
      <c r="B466">
        <v>741421</v>
      </c>
      <c r="C466" t="s">
        <v>1509</v>
      </c>
      <c r="D466" t="s">
        <v>1339</v>
      </c>
      <c r="E466" t="s">
        <v>1326</v>
      </c>
      <c r="F466" t="str">
        <f>CONCATENATE(SR_Lookup[[#This Row],[Account]]," - ",SR_Lookup[[#This Row],[Account Desc]])</f>
        <v>741421 - Supplies Music/Theater</v>
      </c>
    </row>
    <row r="467" spans="2:6">
      <c r="B467">
        <v>741422</v>
      </c>
      <c r="C467" t="s">
        <v>1006</v>
      </c>
      <c r="D467" t="s">
        <v>1843</v>
      </c>
      <c r="E467" t="s">
        <v>1326</v>
      </c>
      <c r="F467" t="str">
        <f>CONCATENATE(SR_Lookup[[#This Row],[Account]]," - ",SR_Lookup[[#This Row],[Account Desc]])</f>
        <v>741422 - Passport Materials Expense</v>
      </c>
    </row>
    <row r="468" spans="2:6">
      <c r="B468">
        <v>741501</v>
      </c>
      <c r="C468" t="s">
        <v>1007</v>
      </c>
      <c r="D468" t="s">
        <v>1843</v>
      </c>
      <c r="E468" t="s">
        <v>1326</v>
      </c>
      <c r="F468" t="str">
        <f>CONCATENATE(SR_Lookup[[#This Row],[Account]]," - ",SR_Lookup[[#This Row],[Account Desc]])</f>
        <v>741501 - Postal Metered Mail</v>
      </c>
    </row>
    <row r="469" spans="2:6">
      <c r="B469">
        <v>741502</v>
      </c>
      <c r="C469" t="s">
        <v>1008</v>
      </c>
      <c r="D469" t="s">
        <v>1843</v>
      </c>
      <c r="E469" t="s">
        <v>1326</v>
      </c>
      <c r="F469" t="str">
        <f>CONCATENATE(SR_Lookup[[#This Row],[Account]]," - ",SR_Lookup[[#This Row],[Account Desc]])</f>
        <v>741502 - Postal International</v>
      </c>
    </row>
    <row r="470" spans="2:6">
      <c r="B470">
        <v>741503</v>
      </c>
      <c r="C470" t="s">
        <v>1798</v>
      </c>
      <c r="D470" t="s">
        <v>1843</v>
      </c>
      <c r="E470" t="s">
        <v>1326</v>
      </c>
      <c r="F470" t="str">
        <f>CONCATENATE(SR_Lookup[[#This Row],[Account]]," - ",SR_Lookup[[#This Row],[Account Desc]])</f>
        <v>741503 - Postal FedEx Charges</v>
      </c>
    </row>
    <row r="471" spans="2:6">
      <c r="B471">
        <v>741504</v>
      </c>
      <c r="C471" t="s">
        <v>1010</v>
      </c>
      <c r="D471" t="s">
        <v>1843</v>
      </c>
      <c r="E471" t="s">
        <v>1326</v>
      </c>
      <c r="F471" t="str">
        <f>CONCATENATE(SR_Lookup[[#This Row],[Account]]," - ",SR_Lookup[[#This Row],[Account Desc]])</f>
        <v>741504 - Postal Mail Prep</v>
      </c>
    </row>
    <row r="472" spans="2:6">
      <c r="B472">
        <v>741505</v>
      </c>
      <c r="C472" t="s">
        <v>1011</v>
      </c>
      <c r="D472" t="s">
        <v>1843</v>
      </c>
      <c r="E472" t="s">
        <v>1326</v>
      </c>
      <c r="F472" t="str">
        <f>CONCATENATE(SR_Lookup[[#This Row],[Account]]," - ",SR_Lookup[[#This Row],[Account Desc]])</f>
        <v>741505 - Postal Presort</v>
      </c>
    </row>
    <row r="473" spans="2:6">
      <c r="B473">
        <v>741506</v>
      </c>
      <c r="C473" t="s">
        <v>1012</v>
      </c>
      <c r="D473" t="s">
        <v>1843</v>
      </c>
      <c r="E473" t="s">
        <v>1326</v>
      </c>
      <c r="F473" t="str">
        <f>CONCATENATE(SR_Lookup[[#This Row],[Account]]," - ",SR_Lookup[[#This Row],[Account Desc]])</f>
        <v>741506 - Postal Standard</v>
      </c>
    </row>
    <row r="474" spans="2:6">
      <c r="B474">
        <v>741507</v>
      </c>
      <c r="C474" t="s">
        <v>1013</v>
      </c>
      <c r="D474" t="s">
        <v>1843</v>
      </c>
      <c r="E474" t="s">
        <v>1326</v>
      </c>
      <c r="F474" t="str">
        <f>CONCATENATE(SR_Lookup[[#This Row],[Account]]," - ",SR_Lookup[[#This Row],[Account Desc]])</f>
        <v>741507 - Postal Bus Reply Returned Mail</v>
      </c>
    </row>
    <row r="475" spans="2:6">
      <c r="B475">
        <v>741508</v>
      </c>
      <c r="C475" t="s">
        <v>1014</v>
      </c>
      <c r="D475" t="s">
        <v>1843</v>
      </c>
      <c r="E475" t="s">
        <v>1345</v>
      </c>
      <c r="F475" t="str">
        <f>CONCATENATE(SR_Lookup[[#This Row],[Account]]," - ",SR_Lookup[[#This Row],[Account Desc]])</f>
        <v>741508 - Postal Due UnderPd Mail Chrgs</v>
      </c>
    </row>
    <row r="476" spans="2:6">
      <c r="B476">
        <v>741509</v>
      </c>
      <c r="C476" t="s">
        <v>1015</v>
      </c>
      <c r="D476" t="s">
        <v>1843</v>
      </c>
      <c r="E476" t="s">
        <v>1345</v>
      </c>
      <c r="F476" t="str">
        <f>CONCATENATE(SR_Lookup[[#This Row],[Account]]," - ",SR_Lookup[[#This Row],[Account Desc]])</f>
        <v>741509 - Postal Shipping/Delivery</v>
      </c>
    </row>
    <row r="477" spans="2:6">
      <c r="B477">
        <v>741521</v>
      </c>
      <c r="C477" t="s">
        <v>1016</v>
      </c>
      <c r="D477" t="s">
        <v>1843</v>
      </c>
      <c r="E477" t="s">
        <v>1345</v>
      </c>
      <c r="F477" t="str">
        <f>CONCATENATE(SR_Lookup[[#This Row],[Account]]," - ",SR_Lookup[[#This Row],[Account Desc]])</f>
        <v>741521 - Freight/Shipping</v>
      </c>
    </row>
    <row r="478" spans="2:6">
      <c r="B478">
        <v>741530</v>
      </c>
      <c r="C478" t="s">
        <v>1017</v>
      </c>
      <c r="D478" t="s">
        <v>1841</v>
      </c>
      <c r="E478" t="s">
        <v>1345</v>
      </c>
      <c r="F478" t="str">
        <f>CONCATENATE(SR_Lookup[[#This Row],[Account]]," - ",SR_Lookup[[#This Row],[Account Desc]])</f>
        <v>741530 - Budget Other Expense Restrict</v>
      </c>
    </row>
    <row r="479" spans="2:6">
      <c r="B479">
        <v>741531</v>
      </c>
      <c r="C479" t="s">
        <v>1018</v>
      </c>
      <c r="D479" t="s">
        <v>1843</v>
      </c>
      <c r="E479" t="s">
        <v>1345</v>
      </c>
      <c r="F479" t="str">
        <f>CONCATENATE(SR_Lookup[[#This Row],[Account]]," - ",SR_Lookup[[#This Row],[Account Desc]])</f>
        <v>741531 - Insurance Automobile NonE&amp;G</v>
      </c>
    </row>
    <row r="480" spans="2:6">
      <c r="B480">
        <v>741540</v>
      </c>
      <c r="C480" t="s">
        <v>1019</v>
      </c>
      <c r="D480" t="s">
        <v>1843</v>
      </c>
      <c r="E480" t="s">
        <v>1345</v>
      </c>
      <c r="F480" t="str">
        <f>CONCATENATE(SR_Lookup[[#This Row],[Account]]," - ",SR_Lookup[[#This Row],[Account Desc]])</f>
        <v>741540 - Insurance Watercraft</v>
      </c>
    </row>
    <row r="481" spans="2:6">
      <c r="B481">
        <v>741541</v>
      </c>
      <c r="C481" t="s">
        <v>1020</v>
      </c>
      <c r="D481" t="s">
        <v>1843</v>
      </c>
      <c r="E481" t="s">
        <v>1345</v>
      </c>
      <c r="F481" t="str">
        <f>CONCATENATE(SR_Lookup[[#This Row],[Account]]," - ",SR_Lookup[[#This Row],[Account Desc]])</f>
        <v>741541 - Insurance Liab General NonE&amp;G</v>
      </c>
    </row>
    <row r="482" spans="2:6">
      <c r="B482">
        <v>741542</v>
      </c>
      <c r="C482" t="s">
        <v>1021</v>
      </c>
      <c r="D482" t="s">
        <v>1843</v>
      </c>
      <c r="E482" t="s">
        <v>1345</v>
      </c>
      <c r="F482" t="str">
        <f>CONCATENATE(SR_Lookup[[#This Row],[Account]]," - ",SR_Lookup[[#This Row],[Account Desc]])</f>
        <v>741542 - Insurance Liab Professional</v>
      </c>
    </row>
    <row r="483" spans="2:6">
      <c r="B483">
        <v>741543</v>
      </c>
      <c r="C483" t="s">
        <v>1022</v>
      </c>
      <c r="D483" t="s">
        <v>1843</v>
      </c>
      <c r="E483" t="s">
        <v>1345</v>
      </c>
      <c r="F483" t="str">
        <f>CONCATENATE(SR_Lookup[[#This Row],[Account]]," - ",SR_Lookup[[#This Row],[Account Desc]])</f>
        <v>741543 - Insurance Property Elective</v>
      </c>
    </row>
    <row r="484" spans="2:6">
      <c r="B484">
        <v>741544</v>
      </c>
      <c r="C484" t="s">
        <v>1023</v>
      </c>
      <c r="D484" t="s">
        <v>1843</v>
      </c>
      <c r="E484" t="s">
        <v>1345</v>
      </c>
      <c r="F484" t="str">
        <f>CONCATENATE(SR_Lookup[[#This Row],[Account]]," - ",SR_Lookup[[#This Row],[Account Desc]])</f>
        <v>741544 - Managed Care Insurance</v>
      </c>
    </row>
    <row r="485" spans="2:6">
      <c r="B485">
        <v>741550</v>
      </c>
      <c r="C485" t="s">
        <v>1024</v>
      </c>
      <c r="D485" t="s">
        <v>1398</v>
      </c>
      <c r="E485" t="s">
        <v>1345</v>
      </c>
      <c r="F485" t="str">
        <f>CONCATENATE(SR_Lookup[[#This Row],[Account]]," - ",SR_Lookup[[#This Row],[Account Desc]])</f>
        <v>741550 - Insurance Workers Comp NonE&amp;G</v>
      </c>
    </row>
    <row r="486" spans="2:6">
      <c r="B486">
        <v>741560</v>
      </c>
      <c r="C486" t="s">
        <v>1025</v>
      </c>
      <c r="D486" t="s">
        <v>1843</v>
      </c>
      <c r="E486" t="s">
        <v>1345</v>
      </c>
      <c r="F486" t="str">
        <f>CONCATENATE(SR_Lookup[[#This Row],[Account]]," - ",SR_Lookup[[#This Row],[Account Desc]])</f>
        <v>741560 - Insurance Property Mandatory</v>
      </c>
    </row>
    <row r="487" spans="2:6">
      <c r="B487">
        <v>741565</v>
      </c>
      <c r="C487" t="s">
        <v>1026</v>
      </c>
      <c r="D487" t="s">
        <v>1843</v>
      </c>
      <c r="E487" t="s">
        <v>1345</v>
      </c>
      <c r="F487" t="str">
        <f>CONCATENATE(SR_Lookup[[#This Row],[Account]]," - ",SR_Lookup[[#This Row],[Account Desc]])</f>
        <v>741565 - Insurance Liab Civ Rts NonE&amp;G</v>
      </c>
    </row>
    <row r="488" spans="2:6">
      <c r="B488">
        <v>741570</v>
      </c>
      <c r="C488" t="s">
        <v>1027</v>
      </c>
      <c r="D488" t="s">
        <v>1843</v>
      </c>
      <c r="E488" t="s">
        <v>1345</v>
      </c>
      <c r="F488" t="str">
        <f>CONCATENATE(SR_Lookup[[#This Row],[Account]]," - ",SR_Lookup[[#This Row],[Account Desc]])</f>
        <v>741570 - Surety Fidelity &amp; Perform Bond</v>
      </c>
    </row>
    <row r="489" spans="2:6">
      <c r="B489">
        <v>741575</v>
      </c>
      <c r="C489" t="s">
        <v>1028</v>
      </c>
      <c r="D489" t="s">
        <v>1843</v>
      </c>
      <c r="E489" t="s">
        <v>1345</v>
      </c>
      <c r="F489" t="str">
        <f>CONCATENATE(SR_Lookup[[#This Row],[Account]]," - ",SR_Lookup[[#This Row],[Account Desc]])</f>
        <v>741575 - Electronic DProcess Insurance</v>
      </c>
    </row>
    <row r="490" spans="2:6">
      <c r="B490">
        <v>741580</v>
      </c>
      <c r="C490" t="s">
        <v>1799</v>
      </c>
      <c r="D490" t="s">
        <v>1393</v>
      </c>
      <c r="E490" t="s">
        <v>1345</v>
      </c>
      <c r="F490" t="str">
        <f>CONCATENATE(SR_Lookup[[#This Row],[Account]]," - ",SR_Lookup[[#This Row],[Account Desc]])</f>
        <v>741580 - Stdnt Aid Dept Hlth Insurance</v>
      </c>
    </row>
    <row r="491" spans="2:6">
      <c r="B491">
        <v>741581</v>
      </c>
      <c r="C491" t="s">
        <v>1030</v>
      </c>
      <c r="D491" t="s">
        <v>1843</v>
      </c>
      <c r="E491" t="s">
        <v>1336</v>
      </c>
      <c r="F491" t="str">
        <f>CONCATENATE(SR_Lookup[[#This Row],[Account]]," - ",SR_Lookup[[#This Row],[Account Desc]])</f>
        <v>741581 - Insurance Other</v>
      </c>
    </row>
    <row r="492" spans="2:6">
      <c r="B492">
        <v>741582</v>
      </c>
      <c r="C492" t="s">
        <v>1031</v>
      </c>
      <c r="D492" t="s">
        <v>1841</v>
      </c>
      <c r="E492" t="s">
        <v>1326</v>
      </c>
      <c r="F492" t="str">
        <f>CONCATENATE(SR_Lookup[[#This Row],[Account]]," - ",SR_Lookup[[#This Row],[Account Desc]])</f>
        <v>741582 - Insurance Claims Expense</v>
      </c>
    </row>
    <row r="493" spans="2:6">
      <c r="B493">
        <v>741610</v>
      </c>
      <c r="C493" t="s">
        <v>1032</v>
      </c>
      <c r="D493" t="s">
        <v>1841</v>
      </c>
      <c r="E493" t="s">
        <v>1326</v>
      </c>
      <c r="F493" t="str">
        <f>CONCATENATE(SR_Lookup[[#This Row],[Account]]," - ",SR_Lookup[[#This Row],[Account Desc]])</f>
        <v>741610 - Unemployment Compensation</v>
      </c>
    </row>
    <row r="494" spans="2:6">
      <c r="B494">
        <v>741620</v>
      </c>
      <c r="C494" t="s">
        <v>1033</v>
      </c>
      <c r="D494" t="s">
        <v>1398</v>
      </c>
      <c r="E494" t="s">
        <v>1345</v>
      </c>
      <c r="F494" t="str">
        <f>CONCATENATE(SR_Lookup[[#This Row],[Account]]," - ",SR_Lookup[[#This Row],[Account Desc]])</f>
        <v>741620 - Workers/Empl Comp Allocation</v>
      </c>
    </row>
    <row r="495" spans="2:6">
      <c r="B495">
        <v>741640</v>
      </c>
      <c r="C495" t="s">
        <v>1034</v>
      </c>
      <c r="D495" t="s">
        <v>1843</v>
      </c>
      <c r="E495" t="s">
        <v>1336</v>
      </c>
      <c r="F495" t="str">
        <f>CONCATENATE(SR_Lookup[[#This Row],[Account]]," - ",SR_Lookup[[#This Row],[Account Desc]])</f>
        <v>741640 - Relief Acts Non-Rpt IRS F1099</v>
      </c>
    </row>
    <row r="496" spans="2:6">
      <c r="B496">
        <v>741650</v>
      </c>
      <c r="C496" t="s">
        <v>1035</v>
      </c>
      <c r="D496" t="s">
        <v>1841</v>
      </c>
      <c r="E496" t="s">
        <v>1326</v>
      </c>
      <c r="F496" t="str">
        <f>CONCATENATE(SR_Lookup[[#This Row],[Account]]," - ",SR_Lookup[[#This Row],[Account Desc]])</f>
        <v>741650 - Health Benefits</v>
      </c>
    </row>
    <row r="497" spans="2:6">
      <c r="B497">
        <v>741660</v>
      </c>
      <c r="C497" t="s">
        <v>1036</v>
      </c>
      <c r="D497" t="s">
        <v>1843</v>
      </c>
      <c r="E497" t="s">
        <v>1326</v>
      </c>
      <c r="F497" t="str">
        <f>CONCATENATE(SR_Lookup[[#This Row],[Account]]," - ",SR_Lookup[[#This Row],[Account Desc]])</f>
        <v>741660 - Dependent Care Benefits</v>
      </c>
    </row>
    <row r="498" spans="2:6">
      <c r="B498">
        <v>741670</v>
      </c>
      <c r="C498" t="s">
        <v>1037</v>
      </c>
      <c r="D498" t="s">
        <v>1843</v>
      </c>
      <c r="E498" t="s">
        <v>1336</v>
      </c>
      <c r="F498" t="str">
        <f>CONCATENATE(SR_Lookup[[#This Row],[Account]]," - ",SR_Lookup[[#This Row],[Account Desc]])</f>
        <v>741670 - Death Benefits for Dependents</v>
      </c>
    </row>
    <row r="499" spans="2:6">
      <c r="B499">
        <v>741721</v>
      </c>
      <c r="C499" t="s">
        <v>1038</v>
      </c>
      <c r="D499" t="s">
        <v>1341</v>
      </c>
      <c r="E499" t="s">
        <v>1326</v>
      </c>
      <c r="F499" t="str">
        <f>CONCATENATE(SR_Lookup[[#This Row],[Account]]," - ",SR_Lookup[[#This Row],[Account Desc]])</f>
        <v>741721 - Rent Space Fr Oth State Ag</v>
      </c>
    </row>
    <row r="500" spans="2:6">
      <c r="B500">
        <v>741731</v>
      </c>
      <c r="C500" t="s">
        <v>1039</v>
      </c>
      <c r="D500" t="s">
        <v>1341</v>
      </c>
      <c r="E500" t="s">
        <v>1326</v>
      </c>
      <c r="F500" t="str">
        <f>CONCATENATE(SR_Lookup[[#This Row],[Account]]," - ",SR_Lookup[[#This Row],[Account Desc]])</f>
        <v>741731 - Rent Space Fr Oth Gov Unit</v>
      </c>
    </row>
    <row r="501" spans="2:6">
      <c r="B501">
        <v>741741</v>
      </c>
      <c r="C501" t="s">
        <v>1040</v>
      </c>
      <c r="D501" t="s">
        <v>1341</v>
      </c>
      <c r="E501" t="s">
        <v>1326</v>
      </c>
      <c r="F501" t="str">
        <f>CONCATENATE(SR_Lookup[[#This Row],[Account]]," - ",SR_Lookup[[#This Row],[Account Desc]])</f>
        <v>741741 - Rent Building/Space</v>
      </c>
    </row>
    <row r="502" spans="2:6">
      <c r="B502">
        <v>741742</v>
      </c>
      <c r="C502" t="s">
        <v>1800</v>
      </c>
      <c r="D502" t="s">
        <v>1341</v>
      </c>
      <c r="E502" t="s">
        <v>1326</v>
      </c>
      <c r="F502" t="str">
        <f>CONCATENATE(SR_Lookup[[#This Row],[Account]]," - ",SR_Lookup[[#This Row],[Account Desc]])</f>
        <v>741742 - Rent Housing</v>
      </c>
    </row>
    <row r="503" spans="2:6">
      <c r="B503">
        <v>741751</v>
      </c>
      <c r="C503" t="s">
        <v>1505</v>
      </c>
      <c r="D503" t="s">
        <v>1843</v>
      </c>
      <c r="E503" t="s">
        <v>1326</v>
      </c>
      <c r="F503" t="str">
        <f>CONCATENATE(SR_Lookup[[#This Row],[Account]]," - ",SR_Lookup[[#This Row],[Account Desc]])</f>
        <v>741751 - Parking/Transportation Svcs</v>
      </c>
    </row>
    <row r="504" spans="2:6">
      <c r="B504">
        <v>741811</v>
      </c>
      <c r="C504" t="s">
        <v>1041</v>
      </c>
      <c r="D504" t="s">
        <v>1843</v>
      </c>
      <c r="E504" t="s">
        <v>1326</v>
      </c>
      <c r="F504" t="str">
        <f>CONCATENATE(SR_Lookup[[#This Row],[Account]]," - ",SR_Lookup[[#This Row],[Account Desc]])</f>
        <v>741811 - Rent IT Equipment</v>
      </c>
    </row>
    <row r="505" spans="2:6">
      <c r="B505">
        <v>741821</v>
      </c>
      <c r="C505" t="s">
        <v>1042</v>
      </c>
      <c r="D505" t="s">
        <v>1843</v>
      </c>
      <c r="E505" t="s">
        <v>1326</v>
      </c>
      <c r="F505" t="str">
        <f>CONCATENATE(SR_Lookup[[#This Row],[Account]]," - ",SR_Lookup[[#This Row],[Account Desc]])</f>
        <v>741821 - Rent Cellular Phone</v>
      </c>
    </row>
    <row r="506" spans="2:6">
      <c r="B506">
        <v>741831</v>
      </c>
      <c r="C506" t="s">
        <v>1646</v>
      </c>
      <c r="D506" t="s">
        <v>1843</v>
      </c>
      <c r="E506" t="s">
        <v>1326</v>
      </c>
      <c r="F506" t="str">
        <f>CONCATENATE(SR_Lookup[[#This Row],[Account]]," - ",SR_Lookup[[#This Row],[Account Desc]])</f>
        <v>741831 - Rent Equipment Copier</v>
      </c>
    </row>
    <row r="507" spans="2:6">
      <c r="B507">
        <v>741851</v>
      </c>
      <c r="C507" t="s">
        <v>1044</v>
      </c>
      <c r="D507" t="s">
        <v>1843</v>
      </c>
      <c r="E507" t="s">
        <v>1326</v>
      </c>
      <c r="F507" t="str">
        <f>CONCATENATE(SR_Lookup[[#This Row],[Account]]," - ",SR_Lookup[[#This Row],[Account Desc]])</f>
        <v>741851 - Rent Office Furn Equip</v>
      </c>
    </row>
    <row r="508" spans="2:6">
      <c r="B508">
        <v>741871</v>
      </c>
      <c r="C508" t="s">
        <v>1045</v>
      </c>
      <c r="D508" t="s">
        <v>1843</v>
      </c>
      <c r="E508" t="s">
        <v>1326</v>
      </c>
      <c r="F508" t="str">
        <f>CONCATENATE(SR_Lookup[[#This Row],[Account]]," - ",SR_Lookup[[#This Row],[Account Desc]])</f>
        <v>741871 - Rent Vehicles Non Travel</v>
      </c>
    </row>
    <row r="509" spans="2:6">
      <c r="B509">
        <v>741881</v>
      </c>
      <c r="C509" t="s">
        <v>1501</v>
      </c>
      <c r="D509" t="s">
        <v>1843</v>
      </c>
      <c r="E509" t="s">
        <v>1326</v>
      </c>
      <c r="F509" t="str">
        <f>CONCATENATE(SR_Lookup[[#This Row],[Account]]," - ",SR_Lookup[[#This Row],[Account Desc]])</f>
        <v>741881 - Rent Equipment Other</v>
      </c>
    </row>
    <row r="510" spans="2:6">
      <c r="B510">
        <v>741901</v>
      </c>
      <c r="C510" t="s">
        <v>1047</v>
      </c>
      <c r="D510" t="s">
        <v>1843</v>
      </c>
      <c r="E510" t="s">
        <v>1326</v>
      </c>
      <c r="F510" t="str">
        <f>CONCATENATE(SR_Lookup[[#This Row],[Account]]," - ",SR_Lookup[[#This Row],[Account Desc]])</f>
        <v>741901 - Registration Fee w Non Travel</v>
      </c>
    </row>
    <row r="511" spans="2:6">
      <c r="B511">
        <v>741902</v>
      </c>
      <c r="C511" t="s">
        <v>1048</v>
      </c>
      <c r="D511" t="s">
        <v>1843</v>
      </c>
      <c r="E511" t="s">
        <v>1326</v>
      </c>
      <c r="F511" t="str">
        <f>CONCATENATE(SR_Lookup[[#This Row],[Account]]," - ",SR_Lookup[[#This Row],[Account Desc]])</f>
        <v>741902 - Attorney Fees &amp; Gross Proceeds</v>
      </c>
    </row>
    <row r="512" spans="2:6">
      <c r="B512">
        <v>741910</v>
      </c>
      <c r="C512" t="s">
        <v>1049</v>
      </c>
      <c r="D512" t="s">
        <v>1843</v>
      </c>
      <c r="E512" t="s">
        <v>1326</v>
      </c>
      <c r="F512" t="str">
        <f>CONCATENATE(SR_Lookup[[#This Row],[Account]]," - ",SR_Lookup[[#This Row],[Account Desc]])</f>
        <v>741910 - Subscriptions</v>
      </c>
    </row>
    <row r="513" spans="2:6">
      <c r="B513">
        <v>741911</v>
      </c>
      <c r="C513" t="s">
        <v>1050</v>
      </c>
      <c r="D513" t="s">
        <v>1842</v>
      </c>
      <c r="E513" t="s">
        <v>1326</v>
      </c>
      <c r="F513" t="str">
        <f>CONCATENATE(SR_Lookup[[#This Row],[Account]]," - ",SR_Lookup[[#This Row],[Account Desc]])</f>
        <v>741911 - Recruiting Publications/Svcs</v>
      </c>
    </row>
    <row r="514" spans="2:6">
      <c r="B514">
        <v>741920</v>
      </c>
      <c r="C514" t="s">
        <v>1801</v>
      </c>
      <c r="D514" t="s">
        <v>1841</v>
      </c>
      <c r="E514" t="s">
        <v>1336</v>
      </c>
      <c r="F514" t="str">
        <f>CONCATENATE(SR_Lookup[[#This Row],[Account]]," - ",SR_Lookup[[#This Row],[Account Desc]])</f>
        <v>741920 - Athletic Recruit Event Entry</v>
      </c>
    </row>
    <row r="515" spans="2:6">
      <c r="B515">
        <v>741921</v>
      </c>
      <c r="C515" t="s">
        <v>1051</v>
      </c>
      <c r="D515" t="s">
        <v>1843</v>
      </c>
      <c r="E515" t="s">
        <v>1336</v>
      </c>
      <c r="F515" t="str">
        <f>CONCATENATE(SR_Lookup[[#This Row],[Account]]," - ",SR_Lookup[[#This Row],[Account Desc]])</f>
        <v>741921 - Membership Participant Fees</v>
      </c>
    </row>
    <row r="516" spans="2:6">
      <c r="B516">
        <v>741922</v>
      </c>
      <c r="C516" t="s">
        <v>1052</v>
      </c>
      <c r="D516" t="s">
        <v>1841</v>
      </c>
      <c r="E516" t="s">
        <v>1326</v>
      </c>
      <c r="F516" t="str">
        <f>CONCATENATE(SR_Lookup[[#This Row],[Account]]," - ",SR_Lookup[[#This Row],[Account Desc]])</f>
        <v>741922 - Athletic Event Entry Fees</v>
      </c>
    </row>
    <row r="517" spans="2:6">
      <c r="B517">
        <v>741923</v>
      </c>
      <c r="C517" t="s">
        <v>1053</v>
      </c>
      <c r="D517" t="s">
        <v>1843</v>
      </c>
      <c r="E517" t="s">
        <v>1326</v>
      </c>
      <c r="F517" t="str">
        <f>CONCATENATE(SR_Lookup[[#This Row],[Account]]," - ",SR_Lookup[[#This Row],[Account Desc]])</f>
        <v>741923 - Memberships Institutional</v>
      </c>
    </row>
    <row r="518" spans="2:6">
      <c r="B518">
        <v>741924</v>
      </c>
      <c r="C518" t="s">
        <v>1054</v>
      </c>
      <c r="D518" t="s">
        <v>1843</v>
      </c>
      <c r="E518" t="s">
        <v>1326</v>
      </c>
      <c r="F518" t="str">
        <f>CONCATENATE(SR_Lookup[[#This Row],[Account]]," - ",SR_Lookup[[#This Row],[Account Desc]])</f>
        <v>741924 - Memberships Individual</v>
      </c>
    </row>
    <row r="519" spans="2:6">
      <c r="B519">
        <v>741940</v>
      </c>
      <c r="C519" t="s">
        <v>1055</v>
      </c>
      <c r="D519" t="s">
        <v>1843</v>
      </c>
      <c r="E519" t="s">
        <v>1346</v>
      </c>
      <c r="F519" t="str">
        <f>CONCATENATE(SR_Lookup[[#This Row],[Account]]," - ",SR_Lookup[[#This Row],[Account Desc]])</f>
        <v>741940 - Awards</v>
      </c>
    </row>
    <row r="520" spans="2:6">
      <c r="B520">
        <v>741941</v>
      </c>
      <c r="C520" t="s">
        <v>1056</v>
      </c>
      <c r="D520" t="s">
        <v>1841</v>
      </c>
      <c r="E520" t="s">
        <v>1326</v>
      </c>
      <c r="F520" t="str">
        <f>CONCATENATE(SR_Lookup[[#This Row],[Account]]," - ",SR_Lookup[[#This Row],[Account Desc]])</f>
        <v>741941 - Athletics Awards</v>
      </c>
    </row>
    <row r="521" spans="2:6">
      <c r="B521">
        <v>741951</v>
      </c>
      <c r="C521" t="s">
        <v>1873</v>
      </c>
      <c r="D521" t="s">
        <v>1843</v>
      </c>
      <c r="E521" t="s">
        <v>1326</v>
      </c>
      <c r="F521" t="str">
        <f>CONCATENATE(SR_Lookup[[#This Row],[Account]]," - ",SR_Lookup[[#This Row],[Account Desc]])</f>
        <v>741951 - Oth CurRent Chrgs&amp;Obligations</v>
      </c>
    </row>
    <row r="522" spans="2:6">
      <c r="B522">
        <v>741952</v>
      </c>
      <c r="C522" t="s">
        <v>1058</v>
      </c>
      <c r="D522" t="s">
        <v>1841</v>
      </c>
      <c r="E522" t="s">
        <v>1326</v>
      </c>
      <c r="F522" t="str">
        <f>CONCATENATE(SR_Lookup[[#This Row],[Account]]," - ",SR_Lookup[[#This Row],[Account Desc]])</f>
        <v>741952 - Credit/DB Card Transaction Fee</v>
      </c>
    </row>
    <row r="523" spans="2:6">
      <c r="B523">
        <v>741953</v>
      </c>
      <c r="C523" t="s">
        <v>1059</v>
      </c>
      <c r="D523" t="s">
        <v>1843</v>
      </c>
      <c r="E523" t="s">
        <v>1326</v>
      </c>
      <c r="F523" t="str">
        <f>CONCATENATE(SR_Lookup[[#This Row],[Account]]," - ",SR_Lookup[[#This Row],[Account Desc]])</f>
        <v>741953 - Advances</v>
      </c>
    </row>
    <row r="524" spans="2:6">
      <c r="B524">
        <v>741954</v>
      </c>
      <c r="C524" t="s">
        <v>1060</v>
      </c>
      <c r="D524" t="s">
        <v>1393</v>
      </c>
      <c r="E524" t="s">
        <v>1326</v>
      </c>
      <c r="F524" t="str">
        <f>CONCATENATE(SR_Lookup[[#This Row],[Account]]," - ",SR_Lookup[[#This Row],[Account Desc]])</f>
        <v>741954 - Research Participant Excl MTDC</v>
      </c>
    </row>
    <row r="525" spans="2:6">
      <c r="B525">
        <v>741955</v>
      </c>
      <c r="C525" t="s">
        <v>1470</v>
      </c>
      <c r="D525" t="s">
        <v>1843</v>
      </c>
      <c r="E525" t="s">
        <v>1326</v>
      </c>
      <c r="F525" t="str">
        <f>CONCATENATE(SR_Lookup[[#This Row],[Account]]," - ",SR_Lookup[[#This Row],[Account Desc]])</f>
        <v>741955 - Unallow Exp C&amp;G Non-Payroll</v>
      </c>
    </row>
    <row r="526" spans="2:6">
      <c r="B526">
        <v>741956</v>
      </c>
      <c r="C526" t="s">
        <v>1062</v>
      </c>
      <c r="D526" t="s">
        <v>1841</v>
      </c>
      <c r="F526" t="str">
        <f>CONCATENATE(SR_Lookup[[#This Row],[Account]]," - ",SR_Lookup[[#This Row],[Account Desc]])</f>
        <v>741956 - DOE Lender Fee</v>
      </c>
    </row>
    <row r="527" spans="2:6">
      <c r="B527">
        <v>741957</v>
      </c>
      <c r="C527" t="s">
        <v>1802</v>
      </c>
      <c r="D527" t="s">
        <v>1343</v>
      </c>
      <c r="F527" t="str">
        <f>CONCATENATE(SR_Lookup[[#This Row],[Account]]," - ",SR_Lookup[[#This Row],[Account Desc]])</f>
        <v>741957 - Stdnt Aid Dept Tuition</v>
      </c>
    </row>
    <row r="528" spans="2:6">
      <c r="B528">
        <v>741958</v>
      </c>
      <c r="C528" t="s">
        <v>1803</v>
      </c>
      <c r="D528" t="s">
        <v>1393</v>
      </c>
      <c r="F528" t="str">
        <f>CONCATENATE(SR_Lookup[[#This Row],[Account]]," - ",SR_Lookup[[#This Row],[Account Desc]])</f>
        <v>741958 - Stdnt Aid Dept Other</v>
      </c>
    </row>
    <row r="529" spans="2:6">
      <c r="B529">
        <v>741959</v>
      </c>
      <c r="C529" t="s">
        <v>1874</v>
      </c>
      <c r="D529" t="s">
        <v>1343</v>
      </c>
      <c r="F529" t="str">
        <f>CONCATENATE(SR_Lookup[[#This Row],[Account]]," - ",SR_Lookup[[#This Row],[Account Desc]])</f>
        <v>741959 - Stdnt Aid Dept Nonqualified</v>
      </c>
    </row>
    <row r="530" spans="2:6">
      <c r="B530">
        <v>741960</v>
      </c>
      <c r="C530" t="s">
        <v>1066</v>
      </c>
      <c r="D530" t="s">
        <v>1843</v>
      </c>
      <c r="F530" t="str">
        <f>CONCATENATE(SR_Lookup[[#This Row],[Account]]," - ",SR_Lookup[[#This Row],[Account Desc]])</f>
        <v>741960 - Perquisites</v>
      </c>
    </row>
    <row r="531" spans="2:6">
      <c r="B531">
        <v>741965</v>
      </c>
      <c r="C531" t="s">
        <v>1067</v>
      </c>
      <c r="D531" t="s">
        <v>1843</v>
      </c>
      <c r="F531" t="str">
        <f>CONCATENATE(SR_Lookup[[#This Row],[Account]]," - ",SR_Lookup[[#This Row],[Account Desc]])</f>
        <v>741965 - Tickets Admission Fees</v>
      </c>
    </row>
    <row r="532" spans="2:6">
      <c r="B532">
        <v>741966</v>
      </c>
      <c r="C532" t="s">
        <v>1068</v>
      </c>
      <c r="D532" t="s">
        <v>1843</v>
      </c>
      <c r="F532" t="str">
        <f>CONCATENATE(SR_Lookup[[#This Row],[Account]]," - ",SR_Lookup[[#This Row],[Account Desc]])</f>
        <v>741966 - Fees &amp; Permits</v>
      </c>
    </row>
    <row r="533" spans="2:6">
      <c r="B533">
        <v>741970</v>
      </c>
      <c r="C533" t="s">
        <v>1069</v>
      </c>
      <c r="D533" t="s">
        <v>1843</v>
      </c>
      <c r="F533" t="str">
        <f>CONCATENATE(SR_Lookup[[#This Row],[Account]]," - ",SR_Lookup[[#This Row],[Account Desc]])</f>
        <v>741970 - Royalties</v>
      </c>
    </row>
    <row r="534" spans="2:6">
      <c r="B534">
        <v>741981</v>
      </c>
      <c r="C534" t="s">
        <v>1070</v>
      </c>
      <c r="D534" t="s">
        <v>1843</v>
      </c>
      <c r="F534" t="str">
        <f>CONCATENATE(SR_Lookup[[#This Row],[Account]]," - ",SR_Lookup[[#This Row],[Account Desc]])</f>
        <v>741981 - Judgment Interest</v>
      </c>
    </row>
    <row r="535" spans="2:6">
      <c r="B535">
        <v>741982</v>
      </c>
      <c r="C535" t="s">
        <v>1071</v>
      </c>
      <c r="D535" t="s">
        <v>1843</v>
      </c>
      <c r="F535" t="str">
        <f>CONCATENATE(SR_Lookup[[#This Row],[Account]]," - ",SR_Lookup[[#This Row],[Account Desc]])</f>
        <v>741982 - Judgments &amp; Settlements</v>
      </c>
    </row>
    <row r="536" spans="2:6">
      <c r="B536">
        <v>741984</v>
      </c>
      <c r="C536" t="s">
        <v>1072</v>
      </c>
      <c r="D536" t="s">
        <v>1843</v>
      </c>
      <c r="F536" t="str">
        <f>CONCATENATE(SR_Lookup[[#This Row],[Account]]," - ",SR_Lookup[[#This Row],[Account Desc]])</f>
        <v>741984 - Other Training</v>
      </c>
    </row>
    <row r="537" spans="2:6">
      <c r="B537">
        <v>742100</v>
      </c>
      <c r="C537" t="s">
        <v>1073</v>
      </c>
      <c r="D537" t="s">
        <v>1841</v>
      </c>
      <c r="F537" t="str">
        <f>CONCATENATE(SR_Lookup[[#This Row],[Account]]," - ",SR_Lookup[[#This Row],[Account Desc]])</f>
        <v>742100 - Budget Tuition Fees Restrict</v>
      </c>
    </row>
    <row r="538" spans="2:6">
      <c r="B538">
        <v>742101</v>
      </c>
      <c r="C538" t="s">
        <v>1074</v>
      </c>
      <c r="D538" t="s">
        <v>1343</v>
      </c>
      <c r="F538" t="str">
        <f>CONCATENATE(SR_Lookup[[#This Row],[Account]]," - ",SR_Lookup[[#This Row],[Account Desc]])</f>
        <v>742101 - Stdnt Aid Wvr Grad In St</v>
      </c>
    </row>
    <row r="539" spans="2:6">
      <c r="B539">
        <v>742102</v>
      </c>
      <c r="C539" t="s">
        <v>1075</v>
      </c>
      <c r="D539" t="s">
        <v>1343</v>
      </c>
      <c r="F539" t="str">
        <f>CONCATENATE(SR_Lookup[[#This Row],[Account]]," - ",SR_Lookup[[#This Row],[Account Desc]])</f>
        <v>742102 - Stdnt Aid Wvr Grad Out of St</v>
      </c>
    </row>
    <row r="540" spans="2:6">
      <c r="B540">
        <v>742103</v>
      </c>
      <c r="C540" t="s">
        <v>1076</v>
      </c>
      <c r="D540" t="s">
        <v>1841</v>
      </c>
      <c r="F540" t="str">
        <f>CONCATENATE(SR_Lookup[[#This Row],[Account]]," - ",SR_Lookup[[#This Row],[Account Desc]])</f>
        <v>742103 - Aux Scholarship Awards</v>
      </c>
    </row>
    <row r="541" spans="2:6">
      <c r="B541">
        <v>742104</v>
      </c>
      <c r="C541" t="s">
        <v>1077</v>
      </c>
      <c r="D541" t="s">
        <v>1841</v>
      </c>
      <c r="F541" t="str">
        <f>CONCATENATE(SR_Lookup[[#This Row],[Account]]," - ",SR_Lookup[[#This Row],[Account Desc]])</f>
        <v>742104 - Aux Registration Pmts</v>
      </c>
    </row>
    <row r="542" spans="2:6">
      <c r="B542">
        <v>742105</v>
      </c>
      <c r="C542" t="s">
        <v>1078</v>
      </c>
      <c r="D542" t="s">
        <v>1841</v>
      </c>
      <c r="F542" t="str">
        <f>CONCATENATE(SR_Lookup[[#This Row],[Account]]," - ",SR_Lookup[[#This Row],[Account Desc]])</f>
        <v>742105 - Aux Out of State Tuition</v>
      </c>
    </row>
    <row r="543" spans="2:6">
      <c r="B543">
        <v>742106</v>
      </c>
      <c r="C543" t="s">
        <v>1079</v>
      </c>
      <c r="D543" t="s">
        <v>1841</v>
      </c>
      <c r="F543" t="str">
        <f>CONCATENATE(SR_Lookup[[#This Row],[Account]]," - ",SR_Lookup[[#This Row],[Account Desc]])</f>
        <v>742106 - Aux Scholarship Rm &amp; Board</v>
      </c>
    </row>
    <row r="544" spans="2:6">
      <c r="B544">
        <v>742107</v>
      </c>
      <c r="C544" t="s">
        <v>1080</v>
      </c>
      <c r="D544" t="s">
        <v>1841</v>
      </c>
      <c r="F544" t="str">
        <f>CONCATENATE(SR_Lookup[[#This Row],[Account]]," - ",SR_Lookup[[#This Row],[Account Desc]])</f>
        <v>742107 - Aux Scholarship Books</v>
      </c>
    </row>
    <row r="545" spans="2:6">
      <c r="B545">
        <v>742108</v>
      </c>
      <c r="C545" t="s">
        <v>1081</v>
      </c>
      <c r="D545" t="s">
        <v>1841</v>
      </c>
      <c r="F545" t="str">
        <f>CONCATENATE(SR_Lookup[[#This Row],[Account]]," - ",SR_Lookup[[#This Row],[Account Desc]])</f>
        <v>742108 - Aux Preseason Practice</v>
      </c>
    </row>
    <row r="546" spans="2:6">
      <c r="B546">
        <v>742109</v>
      </c>
      <c r="C546" t="s">
        <v>1082</v>
      </c>
      <c r="D546" t="s">
        <v>1841</v>
      </c>
      <c r="F546" t="str">
        <f>CONCATENATE(SR_Lookup[[#This Row],[Account]]," - ",SR_Lookup[[#This Row],[Account Desc]])</f>
        <v>742109 - Aux Ed Aid Canx/Reimbursemts</v>
      </c>
    </row>
    <row r="547" spans="2:6">
      <c r="B547">
        <v>742110</v>
      </c>
      <c r="C547" t="s">
        <v>1083</v>
      </c>
      <c r="D547" t="s">
        <v>1841</v>
      </c>
      <c r="F547" t="str">
        <f>CONCATENATE(SR_Lookup[[#This Row],[Account]]," - ",SR_Lookup[[#This Row],[Account Desc]])</f>
        <v>742110 - Aux Non Tax Fellowships</v>
      </c>
    </row>
    <row r="548" spans="2:6">
      <c r="B548">
        <v>742111</v>
      </c>
      <c r="C548" t="s">
        <v>1084</v>
      </c>
      <c r="D548" t="s">
        <v>1841</v>
      </c>
      <c r="F548" t="str">
        <f>CONCATENATE(SR_Lookup[[#This Row],[Account]]," - ",SR_Lookup[[#This Row],[Account Desc]])</f>
        <v>742111 - Aux Out of State Waivers</v>
      </c>
    </row>
    <row r="549" spans="2:6">
      <c r="B549">
        <v>742112</v>
      </c>
      <c r="C549" t="s">
        <v>1085</v>
      </c>
      <c r="D549" t="s">
        <v>1841</v>
      </c>
      <c r="F549" t="str">
        <f>CONCATENATE(SR_Lookup[[#This Row],[Account]]," - ",SR_Lookup[[#This Row],[Account Desc]])</f>
        <v>742112 - Aux NonresAlien Ed Aid Qualif</v>
      </c>
    </row>
    <row r="550" spans="2:6">
      <c r="B550">
        <v>742113</v>
      </c>
      <c r="C550" t="s">
        <v>1086</v>
      </c>
      <c r="D550" t="s">
        <v>1841</v>
      </c>
      <c r="F550" t="str">
        <f>CONCATENATE(SR_Lookup[[#This Row],[Account]]," - ",SR_Lookup[[#This Row],[Account Desc]])</f>
        <v>742113 - Aux NonresAlien Ed Aid NonQual</v>
      </c>
    </row>
    <row r="551" spans="2:6">
      <c r="B551">
        <v>742121</v>
      </c>
      <c r="C551" t="s">
        <v>1087</v>
      </c>
      <c r="D551" t="s">
        <v>1841</v>
      </c>
      <c r="F551" t="str">
        <f>CONCATENATE(SR_Lookup[[#This Row],[Account]]," - ",SR_Lookup[[#This Row],[Account Desc]])</f>
        <v>742121 - Oth Grant Contrib Disburse</v>
      </c>
    </row>
    <row r="552" spans="2:6">
      <c r="B552">
        <v>742125</v>
      </c>
      <c r="C552" t="s">
        <v>1088</v>
      </c>
      <c r="D552" t="s">
        <v>1841</v>
      </c>
      <c r="F552" t="str">
        <f>CONCATENATE(SR_Lookup[[#This Row],[Account]]," - ",SR_Lookup[[#This Row],[Account Desc]])</f>
        <v>742125 - Aux NonStdnt EdAid PostDc Awrd</v>
      </c>
    </row>
    <row r="553" spans="2:6">
      <c r="B553">
        <v>742129</v>
      </c>
      <c r="C553" t="s">
        <v>1804</v>
      </c>
      <c r="D553" t="s">
        <v>1393</v>
      </c>
      <c r="F553" t="str">
        <f>CONCATENATE(SR_Lookup[[#This Row],[Account]]," - ",SR_Lookup[[#This Row],[Account Desc]])</f>
        <v>742129 - Stdnt Aid Emergency Relief</v>
      </c>
    </row>
    <row r="554" spans="2:6">
      <c r="B554">
        <v>742130</v>
      </c>
      <c r="C554" t="s">
        <v>1805</v>
      </c>
      <c r="D554" t="s">
        <v>1393</v>
      </c>
      <c r="F554" t="str">
        <f>CONCATENATE(SR_Lookup[[#This Row],[Account]]," - ",SR_Lookup[[#This Row],[Account Desc]])</f>
        <v>742130 - Empl Emergency Relief-Taxable</v>
      </c>
    </row>
    <row r="555" spans="2:6">
      <c r="B555">
        <v>742131</v>
      </c>
      <c r="C555" t="s">
        <v>1806</v>
      </c>
      <c r="D555" t="s">
        <v>1393</v>
      </c>
      <c r="F555" t="str">
        <f>CONCATENATE(SR_Lookup[[#This Row],[Account]]," - ",SR_Lookup[[#This Row],[Account Desc]])</f>
        <v>742131 - Empl Disaster Relief-Nontax</v>
      </c>
    </row>
    <row r="556" spans="2:6">
      <c r="B556">
        <v>742201</v>
      </c>
      <c r="C556" t="s">
        <v>1506</v>
      </c>
      <c r="D556" t="s">
        <v>1393</v>
      </c>
      <c r="F556" t="str">
        <f>CONCATENATE(SR_Lookup[[#This Row],[Account]]," - ",SR_Lookup[[#This Row],[Account Desc]])</f>
        <v>742201 - Stdnt Aid Other</v>
      </c>
    </row>
    <row r="557" spans="2:6">
      <c r="B557">
        <v>742202</v>
      </c>
      <c r="C557" t="s">
        <v>1090</v>
      </c>
      <c r="D557" t="s">
        <v>1343</v>
      </c>
      <c r="F557" t="str">
        <f>CONCATENATE(SR_Lookup[[#This Row],[Account]]," - ",SR_Lookup[[#This Row],[Account Desc]])</f>
        <v>742202 - Scholarship Tuition Pmts</v>
      </c>
    </row>
    <row r="558" spans="2:6">
      <c r="B558">
        <v>742203</v>
      </c>
      <c r="C558" t="s">
        <v>1091</v>
      </c>
      <c r="D558" t="s">
        <v>1343</v>
      </c>
      <c r="F558" t="str">
        <f>CONCATENATE(SR_Lookup[[#This Row],[Account]]," - ",SR_Lookup[[#This Row],[Account Desc]])</f>
        <v>742203 - Out of State Tuition</v>
      </c>
    </row>
    <row r="559" spans="2:6">
      <c r="B559">
        <v>742204</v>
      </c>
      <c r="C559" t="s">
        <v>1092</v>
      </c>
      <c r="D559" t="s">
        <v>1393</v>
      </c>
      <c r="F559" t="str">
        <f>CONCATENATE(SR_Lookup[[#This Row],[Account]]," - ",SR_Lookup[[#This Row],[Account Desc]])</f>
        <v>742204 - Stdnt Aid Room &amp; Brd Fall/Spr</v>
      </c>
    </row>
    <row r="560" spans="2:6">
      <c r="B560">
        <v>742205</v>
      </c>
      <c r="C560" t="s">
        <v>1093</v>
      </c>
      <c r="D560" t="s">
        <v>1393</v>
      </c>
      <c r="F560" t="str">
        <f>CONCATENATE(SR_Lookup[[#This Row],[Account]]," - ",SR_Lookup[[#This Row],[Account Desc]])</f>
        <v>742205 - Stdnt Aid Books Fall/Spring</v>
      </c>
    </row>
    <row r="561" spans="2:6">
      <c r="B561">
        <v>742206</v>
      </c>
      <c r="C561" t="s">
        <v>1094</v>
      </c>
      <c r="D561" t="s">
        <v>1841</v>
      </c>
      <c r="F561" t="str">
        <f>CONCATENATE(SR_Lookup[[#This Row],[Account]]," - ",SR_Lookup[[#This Row],[Account Desc]])</f>
        <v>742206 - Stdnt Aid Athl Holiday Disb</v>
      </c>
    </row>
    <row r="562" spans="2:6">
      <c r="B562">
        <v>742207</v>
      </c>
      <c r="C562" t="s">
        <v>1095</v>
      </c>
      <c r="D562" t="s">
        <v>1393</v>
      </c>
      <c r="F562" t="str">
        <f>CONCATENATE(SR_Lookup[[#This Row],[Account]]," - ",SR_Lookup[[#This Row],[Account Desc]])</f>
        <v>742207 - Stdnt Aid Cancel/Reimburse</v>
      </c>
    </row>
    <row r="563" spans="2:6">
      <c r="B563">
        <v>742208</v>
      </c>
      <c r="C563" t="s">
        <v>1096</v>
      </c>
      <c r="D563" t="s">
        <v>1393</v>
      </c>
      <c r="F563" t="str">
        <f>CONCATENATE(SR_Lookup[[#This Row],[Account]]," - ",SR_Lookup[[#This Row],[Account Desc]])</f>
        <v>742208 - Stdnt Aid Fellowship NonTax</v>
      </c>
    </row>
    <row r="564" spans="2:6">
      <c r="B564">
        <v>742209</v>
      </c>
      <c r="C564" t="s">
        <v>1097</v>
      </c>
      <c r="D564" t="s">
        <v>1343</v>
      </c>
      <c r="F564" t="str">
        <f>CONCATENATE(SR_Lookup[[#This Row],[Account]]," - ",SR_Lookup[[#This Row],[Account Desc]])</f>
        <v>742209 - Contract Grant Ed Aid Awards</v>
      </c>
    </row>
    <row r="565" spans="2:6">
      <c r="B565">
        <v>742210</v>
      </c>
      <c r="C565" t="s">
        <v>1098</v>
      </c>
      <c r="D565" t="s">
        <v>1841</v>
      </c>
      <c r="F565" t="str">
        <f>CONCATENATE(SR_Lookup[[#This Row],[Account]]," - ",SR_Lookup[[#This Row],[Account Desc]])</f>
        <v>742210 - Fed Loans P&amp;I Canc Death</v>
      </c>
    </row>
    <row r="566" spans="2:6">
      <c r="B566">
        <v>742211</v>
      </c>
      <c r="C566" t="s">
        <v>1099</v>
      </c>
      <c r="D566" t="s">
        <v>1841</v>
      </c>
      <c r="F566" t="str">
        <f>CONCATENATE(SR_Lookup[[#This Row],[Account]]," - ",SR_Lookup[[#This Row],[Account Desc]])</f>
        <v>742211 - Perkins Student Loan 4% Intrst</v>
      </c>
    </row>
    <row r="567" spans="2:6">
      <c r="B567">
        <v>742212</v>
      </c>
      <c r="C567" t="s">
        <v>1100</v>
      </c>
      <c r="D567" t="s">
        <v>1841</v>
      </c>
      <c r="F567" t="str">
        <f>CONCATENATE(SR_Lookup[[#This Row],[Account]]," - ",SR_Lookup[[#This Row],[Account Desc]])</f>
        <v>742212 - Perkins Student Loan 3% Intrst</v>
      </c>
    </row>
    <row r="568" spans="2:6">
      <c r="B568">
        <v>742213</v>
      </c>
      <c r="C568" t="s">
        <v>1101</v>
      </c>
      <c r="D568" t="s">
        <v>1343</v>
      </c>
      <c r="F568" t="str">
        <f>CONCATENATE(SR_Lookup[[#This Row],[Account]]," - ",SR_Lookup[[#This Row],[Account Desc]])</f>
        <v>742213 - Stdnt Aid Wvr Undgrd Out of St</v>
      </c>
    </row>
    <row r="569" spans="2:6">
      <c r="B569">
        <v>742215</v>
      </c>
      <c r="C569" t="s">
        <v>1102</v>
      </c>
      <c r="D569" t="s">
        <v>1393</v>
      </c>
      <c r="F569" t="str">
        <f>CONCATENATE(SR_Lookup[[#This Row],[Account]]," - ",SR_Lookup[[#This Row],[Account Desc]])</f>
        <v>742215 - Nonduty Stipend Student</v>
      </c>
    </row>
    <row r="570" spans="2:6">
      <c r="B570">
        <v>742216</v>
      </c>
      <c r="C570" t="s">
        <v>1103</v>
      </c>
      <c r="D570" t="s">
        <v>1841</v>
      </c>
      <c r="F570" t="str">
        <f>CONCATENATE(SR_Lookup[[#This Row],[Account]]," - ",SR_Lookup[[#This Row],[Account Desc]])</f>
        <v>742216 - Loan Cancellations</v>
      </c>
    </row>
    <row r="571" spans="2:6">
      <c r="B571">
        <v>742217</v>
      </c>
      <c r="C571" t="s">
        <v>1104</v>
      </c>
      <c r="D571" t="s">
        <v>1343</v>
      </c>
      <c r="F571" t="str">
        <f>CONCATENATE(SR_Lookup[[#This Row],[Account]]," - ",SR_Lookup[[#This Row],[Account Desc]])</f>
        <v>742217 - Scholarship Tuition Summer</v>
      </c>
    </row>
    <row r="572" spans="2:6">
      <c r="B572">
        <v>742218</v>
      </c>
      <c r="C572" t="s">
        <v>1105</v>
      </c>
      <c r="D572" t="s">
        <v>1393</v>
      </c>
      <c r="F572" t="str">
        <f>CONCATENATE(SR_Lookup[[#This Row],[Account]]," - ",SR_Lookup[[#This Row],[Account Desc]])</f>
        <v>742218 - Stdnt Aid Room &amp; Board Summer</v>
      </c>
    </row>
    <row r="573" spans="2:6">
      <c r="B573">
        <v>742219</v>
      </c>
      <c r="C573" t="s">
        <v>1106</v>
      </c>
      <c r="D573" t="s">
        <v>1393</v>
      </c>
      <c r="F573" t="str">
        <f>CONCATENATE(SR_Lookup[[#This Row],[Account]]," - ",SR_Lookup[[#This Row],[Account Desc]])</f>
        <v>742219 - Stdnt Aid Books Summer</v>
      </c>
    </row>
    <row r="574" spans="2:6">
      <c r="B574">
        <v>742220</v>
      </c>
      <c r="C574" t="s">
        <v>1807</v>
      </c>
      <c r="D574" t="s">
        <v>1343</v>
      </c>
      <c r="F574" t="str">
        <f>CONCATENATE(SR_Lookup[[#This Row],[Account]]," - ",SR_Lookup[[#This Row],[Account Desc]])</f>
        <v>742220 - Stdnt Aid Athl Grad Asst/Mgrs</v>
      </c>
    </row>
    <row r="575" spans="2:6">
      <c r="B575">
        <v>742221</v>
      </c>
      <c r="C575" t="s">
        <v>1108</v>
      </c>
      <c r="D575" t="s">
        <v>1343</v>
      </c>
      <c r="F575" t="str">
        <f>CONCATENATE(SR_Lookup[[#This Row],[Account]]," - ",SR_Lookup[[#This Row],[Account Desc]])</f>
        <v>742221 - Stdnt Aid Athl Spcl Asst Fd</v>
      </c>
    </row>
    <row r="576" spans="2:6">
      <c r="B576">
        <v>742222</v>
      </c>
      <c r="C576" t="s">
        <v>1109</v>
      </c>
      <c r="D576" t="s">
        <v>1343</v>
      </c>
      <c r="F576" t="str">
        <f>CONCATENATE(SR_Lookup[[#This Row],[Account]]," - ",SR_Lookup[[#This Row],[Account Desc]])</f>
        <v>742222 - Stdnt Aid Athl Opprtnity Fd</v>
      </c>
    </row>
    <row r="577" spans="2:6">
      <c r="B577">
        <v>742223</v>
      </c>
      <c r="C577" t="s">
        <v>1110</v>
      </c>
      <c r="D577" t="s">
        <v>1393</v>
      </c>
      <c r="F577" t="str">
        <f>CONCATENATE(SR_Lookup[[#This Row],[Account]]," - ",SR_Lookup[[#This Row],[Account Desc]])</f>
        <v>742223 - Stdnt Aid Food Services</v>
      </c>
    </row>
    <row r="578" spans="2:6">
      <c r="B578">
        <v>742224</v>
      </c>
      <c r="C578" t="s">
        <v>1647</v>
      </c>
      <c r="D578" t="s">
        <v>1343</v>
      </c>
      <c r="F578" t="str">
        <f>CONCATENATE(SR_Lookup[[#This Row],[Account]]," - ",SR_Lookup[[#This Row],[Account Desc]])</f>
        <v>742224 - Stdnt Aid Cost of Attendance</v>
      </c>
    </row>
    <row r="579" spans="2:6">
      <c r="B579">
        <v>742225</v>
      </c>
      <c r="C579" t="s">
        <v>1808</v>
      </c>
      <c r="D579" t="s">
        <v>1393</v>
      </c>
      <c r="F579" t="str">
        <f>CONCATENATE(SR_Lookup[[#This Row],[Account]]," - ",SR_Lookup[[#This Row],[Account Desc]])</f>
        <v>742225 - Post Doc Fellow Allowance</v>
      </c>
    </row>
    <row r="580" spans="2:6">
      <c r="B580">
        <v>742226</v>
      </c>
      <c r="C580" t="s">
        <v>1809</v>
      </c>
      <c r="D580" t="s">
        <v>1393</v>
      </c>
      <c r="F580" t="str">
        <f>CONCATENATE(SR_Lookup[[#This Row],[Account]]," - ",SR_Lookup[[#This Row],[Account Desc]])</f>
        <v>742226 - Post Doc Fellow Book/Material</v>
      </c>
    </row>
    <row r="581" spans="2:6">
      <c r="B581">
        <v>742227</v>
      </c>
      <c r="C581" t="s">
        <v>1810</v>
      </c>
      <c r="D581" t="s">
        <v>1393</v>
      </c>
      <c r="F581" t="str">
        <f>CONCATENATE(SR_Lookup[[#This Row],[Account]]," - ",SR_Lookup[[#This Row],[Account Desc]])</f>
        <v>742227 - Post Doc Fellow Health Ins</v>
      </c>
    </row>
    <row r="582" spans="2:6">
      <c r="B582">
        <v>742228</v>
      </c>
      <c r="C582" t="s">
        <v>1811</v>
      </c>
      <c r="D582" t="s">
        <v>1393</v>
      </c>
      <c r="F582" t="str">
        <f>CONCATENATE(SR_Lookup[[#This Row],[Account]]," - ",SR_Lookup[[#This Row],[Account Desc]])</f>
        <v>742228 - Post Doc Fellow Other/Misc</v>
      </c>
    </row>
    <row r="583" spans="2:6">
      <c r="B583">
        <v>742230</v>
      </c>
      <c r="C583" t="s">
        <v>1112</v>
      </c>
      <c r="D583" t="s">
        <v>1393</v>
      </c>
      <c r="F583" t="str">
        <f>CONCATENATE(SR_Lookup[[#This Row],[Account]]," - ",SR_Lookup[[#This Row],[Account Desc]])</f>
        <v>742230 - Nonduty Stipend Foreign</v>
      </c>
    </row>
    <row r="584" spans="2:6">
      <c r="B584">
        <v>742240</v>
      </c>
      <c r="C584" t="s">
        <v>1113</v>
      </c>
      <c r="D584" t="s">
        <v>1393</v>
      </c>
      <c r="F584" t="str">
        <f>CONCATENATE(SR_Lookup[[#This Row],[Account]]," - ",SR_Lookup[[#This Row],[Account Desc]])</f>
        <v>742240 - Stdnt Aid Foreign</v>
      </c>
    </row>
    <row r="585" spans="2:6">
      <c r="B585">
        <v>742245</v>
      </c>
      <c r="C585" t="s">
        <v>1812</v>
      </c>
      <c r="D585" t="s">
        <v>1343</v>
      </c>
      <c r="F585" t="str">
        <f>CONCATENATE(SR_Lookup[[#This Row],[Account]]," - ",SR_Lookup[[#This Row],[Account Desc]])</f>
        <v>742245 - Sdnt Aid Foreign SPEAR NRA</v>
      </c>
    </row>
    <row r="586" spans="2:6">
      <c r="B586">
        <v>742290</v>
      </c>
      <c r="C586" t="s">
        <v>1114</v>
      </c>
      <c r="D586" t="s">
        <v>1393</v>
      </c>
      <c r="F586" t="str">
        <f>CONCATENATE(SR_Lookup[[#This Row],[Account]]," - ",SR_Lookup[[#This Row],[Account Desc]])</f>
        <v>742290 - Stdnt Aid Scholrship Allowance</v>
      </c>
    </row>
    <row r="587" spans="2:6">
      <c r="B587">
        <v>742291</v>
      </c>
      <c r="C587" t="s">
        <v>1237</v>
      </c>
      <c r="D587" t="s">
        <v>1393</v>
      </c>
      <c r="F587" t="str">
        <f>CONCATENATE(SR_Lookup[[#This Row],[Account]]," - ",SR_Lookup[[#This Row],[Account Desc]])</f>
        <v>742291 - Stdnt Aid Discounts</v>
      </c>
    </row>
    <row r="588" spans="2:6">
      <c r="B588">
        <v>743010</v>
      </c>
      <c r="C588" t="s">
        <v>1115</v>
      </c>
      <c r="D588" t="s">
        <v>1841</v>
      </c>
      <c r="F588" t="str">
        <f>CONCATENATE(SR_Lookup[[#This Row],[Account]]," - ",SR_Lookup[[#This Row],[Account Desc]])</f>
        <v>743010 - Perkins Cncl Write Off</v>
      </c>
    </row>
    <row r="589" spans="2:6">
      <c r="B589">
        <v>743011</v>
      </c>
      <c r="C589" t="s">
        <v>1116</v>
      </c>
      <c r="D589" t="s">
        <v>1841</v>
      </c>
      <c r="F589" t="str">
        <f>CONCATENATE(SR_Lookup[[#This Row],[Account]]," - ",SR_Lookup[[#This Row],[Account Desc]])</f>
        <v>743011 - WriteOff Ed Aid Canx/Reimb</v>
      </c>
    </row>
    <row r="590" spans="2:6">
      <c r="B590">
        <v>743012</v>
      </c>
      <c r="C590" t="s">
        <v>1117</v>
      </c>
      <c r="D590" t="s">
        <v>1841</v>
      </c>
      <c r="F590" t="str">
        <f>CONCATENATE(SR_Lookup[[#This Row],[Account]]," - ",SR_Lookup[[#This Row],[Account Desc]])</f>
        <v>743012 - WriteOff Fellowships Non-Tax</v>
      </c>
    </row>
    <row r="591" spans="2:6">
      <c r="B591">
        <v>743014</v>
      </c>
      <c r="C591" t="s">
        <v>1118</v>
      </c>
      <c r="D591" t="s">
        <v>1841</v>
      </c>
      <c r="F591" t="str">
        <f>CONCATENATE(SR_Lookup[[#This Row],[Account]]," - ",SR_Lookup[[#This Row],[Account Desc]])</f>
        <v>743014 - Perkins Cncl Teach Svc Shrg</v>
      </c>
    </row>
    <row r="592" spans="2:6">
      <c r="B592">
        <v>743015</v>
      </c>
      <c r="C592" t="s">
        <v>1119</v>
      </c>
      <c r="D592" t="s">
        <v>1841</v>
      </c>
      <c r="F592" t="str">
        <f>CONCATENATE(SR_Lookup[[#This Row],[Account]]," - ",SR_Lookup[[#This Row],[Account Desc]])</f>
        <v>743015 - Perkins Cncl Hlth Svc N/Md Tec</v>
      </c>
    </row>
    <row r="593" spans="2:6">
      <c r="B593">
        <v>743016</v>
      </c>
      <c r="C593" t="s">
        <v>1120</v>
      </c>
      <c r="D593" t="s">
        <v>1841</v>
      </c>
      <c r="F593" t="str">
        <f>CONCATENATE(SR_Lookup[[#This Row],[Account]]," - ",SR_Lookup[[#This Row],[Account Desc]])</f>
        <v>743016 - Perkins Cncl Svc Hi Risk Chld</v>
      </c>
    </row>
    <row r="594" spans="2:6">
      <c r="B594">
        <v>743017</v>
      </c>
      <c r="C594" t="s">
        <v>1121</v>
      </c>
      <c r="D594" t="s">
        <v>1841</v>
      </c>
      <c r="F594" t="str">
        <f>CONCATENATE(SR_Lookup[[#This Row],[Account]]," - ",SR_Lookup[[#This Row],[Account Desc]])</f>
        <v>743017 - Perkins Cncl Law Enforcement</v>
      </c>
    </row>
    <row r="595" spans="2:6">
      <c r="B595">
        <v>743018</v>
      </c>
      <c r="C595" t="s">
        <v>1122</v>
      </c>
      <c r="D595" t="s">
        <v>1841</v>
      </c>
      <c r="F595" t="str">
        <f>CONCATENATE(SR_Lookup[[#This Row],[Account]]," - ",SR_Lookup[[#This Row],[Account Desc]])</f>
        <v>743018 - Perkins Cncl Peace Corp/Vista</v>
      </c>
    </row>
    <row r="596" spans="2:6">
      <c r="B596">
        <v>743019</v>
      </c>
      <c r="C596" t="s">
        <v>1123</v>
      </c>
      <c r="D596" t="s">
        <v>1841</v>
      </c>
      <c r="F596" t="str">
        <f>CONCATENATE(SR_Lookup[[#This Row],[Account]]," - ",SR_Lookup[[#This Row],[Account Desc]])</f>
        <v>743019 - Perkins Cncl Fed 10 15%</v>
      </c>
    </row>
    <row r="597" spans="2:6">
      <c r="B597">
        <v>743020</v>
      </c>
      <c r="C597" t="s">
        <v>1124</v>
      </c>
      <c r="D597" t="s">
        <v>1841</v>
      </c>
      <c r="F597" t="str">
        <f>CONCATENATE(SR_Lookup[[#This Row],[Account]]," - ",SR_Lookup[[#This Row],[Account Desc]])</f>
        <v>743020 - Cnc Fed P&amp;I Mil 12.5% PR 72</v>
      </c>
    </row>
    <row r="598" spans="2:6">
      <c r="B598">
        <v>743021</v>
      </c>
      <c r="C598" t="s">
        <v>1125</v>
      </c>
      <c r="D598" t="s">
        <v>1841</v>
      </c>
      <c r="F598" t="str">
        <f>CONCATENATE(SR_Lookup[[#This Row],[Account]]," - ",SR_Lookup[[#This Row],[Account Desc]])</f>
        <v>743021 - Perkins Cncl Fed 15 30%</v>
      </c>
    </row>
    <row r="599" spans="2:6">
      <c r="B599">
        <v>743022</v>
      </c>
      <c r="C599" t="s">
        <v>1126</v>
      </c>
      <c r="D599" t="s">
        <v>1841</v>
      </c>
      <c r="F599" t="str">
        <f>CONCATENATE(SR_Lookup[[#This Row],[Account]]," - ",SR_Lookup[[#This Row],[Account Desc]])</f>
        <v>743022 - Perkins Cncl Fed Mil 12.5%AF72</v>
      </c>
    </row>
    <row r="600" spans="2:6">
      <c r="B600">
        <v>743023</v>
      </c>
      <c r="C600" t="s">
        <v>1127</v>
      </c>
      <c r="D600" t="s">
        <v>1841</v>
      </c>
      <c r="F600" t="str">
        <f>CONCATENATE(SR_Lookup[[#This Row],[Account]]," - ",SR_Lookup[[#This Row],[Account Desc]])</f>
        <v>743023 - Perkins Cncl Fed Assigned</v>
      </c>
    </row>
    <row r="601" spans="2:6">
      <c r="B601">
        <v>743024</v>
      </c>
      <c r="C601" t="s">
        <v>1128</v>
      </c>
      <c r="D601" t="s">
        <v>1841</v>
      </c>
      <c r="F601" t="str">
        <f>CONCATENATE(SR_Lookup[[#This Row],[Account]]," - ",SR_Lookup[[#This Row],[Account Desc]])</f>
        <v>743024 - Perkins Cncl Fed Death</v>
      </c>
    </row>
    <row r="602" spans="2:6">
      <c r="B602">
        <v>743025</v>
      </c>
      <c r="C602" t="s">
        <v>1129</v>
      </c>
      <c r="D602" t="s">
        <v>1841</v>
      </c>
      <c r="F602" t="str">
        <f>CONCATENATE(SR_Lookup[[#This Row],[Account]]," - ",SR_Lookup[[#This Row],[Account Desc]])</f>
        <v>743025 - Perkins Cncl Fed Disability</v>
      </c>
    </row>
    <row r="603" spans="2:6">
      <c r="B603">
        <v>743026</v>
      </c>
      <c r="C603" t="s">
        <v>1130</v>
      </c>
      <c r="D603" t="s">
        <v>1841</v>
      </c>
      <c r="F603" t="str">
        <f>CONCATENATE(SR_Lookup[[#This Row],[Account]]," - ",SR_Lookup[[#This Row],[Account Desc]])</f>
        <v>743026 - Perkins Cncl Fed Bankruptcy</v>
      </c>
    </row>
    <row r="604" spans="2:6">
      <c r="B604">
        <v>743027</v>
      </c>
      <c r="C604" t="s">
        <v>1131</v>
      </c>
      <c r="D604" t="s">
        <v>1841</v>
      </c>
      <c r="F604" t="str">
        <f>CONCATENATE(SR_Lookup[[#This Row],[Account]]," - ",SR_Lookup[[#This Row],[Account Desc]])</f>
        <v>743027 - Cnc Perkin Prn&amp;Int Headstrt</v>
      </c>
    </row>
    <row r="605" spans="2:6">
      <c r="B605">
        <v>743028</v>
      </c>
      <c r="C605" t="s">
        <v>1132</v>
      </c>
      <c r="D605" t="s">
        <v>1841</v>
      </c>
      <c r="F605" t="str">
        <f>CONCATENATE(SR_Lookup[[#This Row],[Account]]," - ",SR_Lookup[[#This Row],[Account Desc]])</f>
        <v>743028 - Cnc Fed Loans P&amp;I WriteOff</v>
      </c>
    </row>
    <row r="606" spans="2:6">
      <c r="B606">
        <v>743029</v>
      </c>
      <c r="C606" t="s">
        <v>1133</v>
      </c>
      <c r="D606" t="s">
        <v>1343</v>
      </c>
      <c r="F606" t="str">
        <f>CONCATENATE(SR_Lookup[[#This Row],[Account]]," - ",SR_Lookup[[#This Row],[Account Desc]])</f>
        <v>743029 - G/A Matriculation Fee Waiver</v>
      </c>
    </row>
    <row r="607" spans="2:6">
      <c r="B607">
        <v>743030</v>
      </c>
      <c r="C607" t="s">
        <v>1134</v>
      </c>
      <c r="D607" t="s">
        <v>1841</v>
      </c>
      <c r="F607" t="str">
        <f>CONCATENATE(SR_Lookup[[#This Row],[Account]]," - ",SR_Lookup[[#This Row],[Account Desc]])</f>
        <v>743030 - Perkins Cncl Pre KchldCarePrg</v>
      </c>
    </row>
    <row r="608" spans="2:6">
      <c r="B608">
        <v>743031</v>
      </c>
      <c r="C608" t="s">
        <v>1135</v>
      </c>
      <c r="D608" t="s">
        <v>1841</v>
      </c>
      <c r="F608" t="str">
        <f>CONCATENATE(SR_Lookup[[#This Row],[Account]]," - ",SR_Lookup[[#This Row],[Account Desc]])</f>
        <v>743031 - Perkins Cncl SrvAttPubOfOrg</v>
      </c>
    </row>
    <row r="609" spans="2:6">
      <c r="B609">
        <v>743032</v>
      </c>
      <c r="C609" t="s">
        <v>1136</v>
      </c>
      <c r="D609" t="s">
        <v>1841</v>
      </c>
      <c r="F609" t="str">
        <f>CONCATENATE(SR_Lookup[[#This Row],[Account]]," - ",SR_Lookup[[#This Row],[Account Desc]])</f>
        <v>743032 - Perkins Cncl FireFighter Srv</v>
      </c>
    </row>
    <row r="610" spans="2:6">
      <c r="B610">
        <v>743033</v>
      </c>
      <c r="C610" t="s">
        <v>1137</v>
      </c>
      <c r="D610" t="s">
        <v>1841</v>
      </c>
      <c r="F610" t="str">
        <f>CONCATENATE(SR_Lookup[[#This Row],[Account]]," - ",SR_Lookup[[#This Row],[Account Desc]])</f>
        <v>743033 - Perkins Cncl TribalUnvFacSrv</v>
      </c>
    </row>
    <row r="611" spans="2:6">
      <c r="B611">
        <v>743034</v>
      </c>
      <c r="C611" t="s">
        <v>1138</v>
      </c>
      <c r="D611" t="s">
        <v>1841</v>
      </c>
      <c r="F611" t="str">
        <f>CONCATENATE(SR_Lookup[[#This Row],[Account]]," - ",SR_Lookup[[#This Row],[Account Desc]])</f>
        <v>743034 - Perkins Cncl LibSrv</v>
      </c>
    </row>
    <row r="612" spans="2:6">
      <c r="B612">
        <v>743035</v>
      </c>
      <c r="C612" t="s">
        <v>1139</v>
      </c>
      <c r="D612" t="s">
        <v>1841</v>
      </c>
      <c r="F612" t="str">
        <f>CONCATENATE(SR_Lookup[[#This Row],[Account]]," - ",SR_Lookup[[#This Row],[Account Desc]])</f>
        <v>743035 - Perkins Cncl Spc LangPathSrv</v>
      </c>
    </row>
    <row r="613" spans="2:6">
      <c r="B613">
        <v>743036</v>
      </c>
      <c r="C613" t="s">
        <v>1140</v>
      </c>
      <c r="D613" t="s">
        <v>1841</v>
      </c>
      <c r="F613" t="str">
        <f>CONCATENATE(SR_Lookup[[#This Row],[Account]]," - ",SR_Lookup[[#This Row],[Account Desc]])</f>
        <v>743036 - Perkins Cncl VADisbDeter</v>
      </c>
    </row>
    <row r="614" spans="2:6">
      <c r="B614">
        <v>743049</v>
      </c>
      <c r="C614" t="s">
        <v>1274</v>
      </c>
      <c r="D614" t="s">
        <v>1841</v>
      </c>
      <c r="F614" t="str">
        <f>CONCATENATE(SR_Lookup[[#This Row],[Account]]," - ",SR_Lookup[[#This Row],[Account Desc]])</f>
        <v>743049 - Loan Disbursements_Agency_Fnds</v>
      </c>
    </row>
    <row r="615" spans="2:6">
      <c r="B615">
        <v>743101</v>
      </c>
      <c r="C615" t="s">
        <v>1141</v>
      </c>
      <c r="D615" t="s">
        <v>1841</v>
      </c>
      <c r="F615" t="str">
        <f>CONCATENATE(SR_Lookup[[#This Row],[Account]]," - ",SR_Lookup[[#This Row],[Account Desc]])</f>
        <v>743101 - Interest Penalty Payment</v>
      </c>
    </row>
    <row r="616" spans="2:6">
      <c r="B616">
        <v>743105</v>
      </c>
      <c r="C616" t="s">
        <v>1142</v>
      </c>
      <c r="D616" t="s">
        <v>1841</v>
      </c>
      <c r="F616" t="str">
        <f>CONCATENATE(SR_Lookup[[#This Row],[Account]]," - ",SR_Lookup[[#This Row],[Account Desc]])</f>
        <v>743105 - Comp Unit Prog &amp; Admin Exp</v>
      </c>
    </row>
    <row r="617" spans="2:6">
      <c r="B617">
        <v>747800</v>
      </c>
      <c r="C617" t="s">
        <v>1813</v>
      </c>
      <c r="D617" t="s">
        <v>1841</v>
      </c>
      <c r="F617" t="str">
        <f>CONCATENATE(SR_Lookup[[#This Row],[Account]]," - ",SR_Lookup[[#This Row],[Account Desc]])</f>
        <v>747800 - Funds due FSURF</v>
      </c>
    </row>
    <row r="618" spans="2:6">
      <c r="B618">
        <v>748001</v>
      </c>
      <c r="C618" t="s">
        <v>1814</v>
      </c>
      <c r="D618" t="s">
        <v>1841</v>
      </c>
      <c r="F618" t="str">
        <f>CONCATENATE(SR_Lookup[[#This Row],[Account]]," - ",SR_Lookup[[#This Row],[Account Desc]])</f>
        <v>748001 - Property Taxes</v>
      </c>
    </row>
    <row r="619" spans="2:6">
      <c r="B619">
        <v>748002</v>
      </c>
      <c r="C619" t="s">
        <v>1815</v>
      </c>
      <c r="D619" t="s">
        <v>1841</v>
      </c>
      <c r="F619" t="str">
        <f>CONCATENATE(SR_Lookup[[#This Row],[Account]]," - ",SR_Lookup[[#This Row],[Account Desc]])</f>
        <v>748002 - Charitable Contributions</v>
      </c>
    </row>
    <row r="620" spans="2:6">
      <c r="B620">
        <v>748003</v>
      </c>
      <c r="C620" t="s">
        <v>1816</v>
      </c>
      <c r="D620" t="s">
        <v>1841</v>
      </c>
      <c r="F620" t="str">
        <f>CONCATENATE(SR_Lookup[[#This Row],[Account]]," - ",SR_Lookup[[#This Row],[Account Desc]])</f>
        <v>748003 - Lobbying Expense</v>
      </c>
    </row>
    <row r="621" spans="2:6">
      <c r="B621">
        <v>748099</v>
      </c>
      <c r="C621" t="s">
        <v>1817</v>
      </c>
      <c r="D621" t="s">
        <v>1841</v>
      </c>
      <c r="F621" t="str">
        <f>CONCATENATE(SR_Lookup[[#This Row],[Account]]," - ",SR_Lookup[[#This Row],[Account Desc]])</f>
        <v>748099 - Prepaid Expense</v>
      </c>
    </row>
    <row r="622" spans="2:6">
      <c r="B622">
        <v>749000</v>
      </c>
      <c r="C622" t="s">
        <v>1275</v>
      </c>
      <c r="D622" t="s">
        <v>1841</v>
      </c>
      <c r="F622" t="str">
        <f>CONCATENATE(SR_Lookup[[#This Row],[Account]]," - ",SR_Lookup[[#This Row],[Account Desc]])</f>
        <v>749000 - Bad Debt Expense</v>
      </c>
    </row>
    <row r="623" spans="2:6">
      <c r="B623">
        <v>749100</v>
      </c>
      <c r="C623" t="s">
        <v>1818</v>
      </c>
      <c r="D623" t="s">
        <v>1841</v>
      </c>
      <c r="F623" t="str">
        <f>CONCATENATE(SR_Lookup[[#This Row],[Account]]," - ",SR_Lookup[[#This Row],[Account Desc]])</f>
        <v>749100 - Internal Investment Interest</v>
      </c>
    </row>
    <row r="624" spans="2:6">
      <c r="B624">
        <v>749500</v>
      </c>
      <c r="C624" t="s">
        <v>1819</v>
      </c>
      <c r="D624" t="s">
        <v>1843</v>
      </c>
      <c r="F624" t="str">
        <f>CONCATENATE(SR_Lookup[[#This Row],[Account]]," - ",SR_Lookup[[#This Row],[Account Desc]])</f>
        <v>749500 - Miscellaneous Deposit</v>
      </c>
    </row>
    <row r="625" spans="2:6">
      <c r="B625">
        <v>749999</v>
      </c>
      <c r="C625" t="s">
        <v>1143</v>
      </c>
      <c r="D625" t="s">
        <v>1340</v>
      </c>
      <c r="F625" t="str">
        <f>CONCATENATE(SR_Lookup[[#This Row],[Account]]," - ",SR_Lookup[[#This Row],[Account Desc]])</f>
        <v>749999 - Equip Excl F&amp;A Expendable</v>
      </c>
    </row>
    <row r="626" spans="2:6">
      <c r="B626">
        <v>760000</v>
      </c>
      <c r="C626" t="s">
        <v>1144</v>
      </c>
      <c r="D626" t="s">
        <v>1841</v>
      </c>
      <c r="F626" t="str">
        <f>CONCATENATE(SR_Lookup[[#This Row],[Account]]," - ",SR_Lookup[[#This Row],[Account Desc]])</f>
        <v>760000 - Budget OCO</v>
      </c>
    </row>
    <row r="627" spans="2:6">
      <c r="B627">
        <v>760001</v>
      </c>
      <c r="C627" t="s">
        <v>1649</v>
      </c>
      <c r="D627" t="s">
        <v>1841</v>
      </c>
      <c r="F627" t="str">
        <f>CONCATENATE(SR_Lookup[[#This Row],[Account]]," - ",SR_Lookup[[#This Row],[Account Desc]])</f>
        <v>760001 - Budget OCO-Cap Equip/Supplies</v>
      </c>
    </row>
    <row r="628" spans="2:6">
      <c r="B628">
        <v>760002</v>
      </c>
      <c r="C628" t="s">
        <v>1651</v>
      </c>
      <c r="D628" t="s">
        <v>1841</v>
      </c>
      <c r="F628" t="str">
        <f>CONCATENATE(SR_Lookup[[#This Row],[Account]]," - ",SR_Lookup[[#This Row],[Account Desc]])</f>
        <v>760002 - Budget OCO-Real Property</v>
      </c>
    </row>
    <row r="629" spans="2:6">
      <c r="B629">
        <v>760003</v>
      </c>
      <c r="C629" t="s">
        <v>1653</v>
      </c>
      <c r="D629" t="s">
        <v>1841</v>
      </c>
      <c r="F629" t="str">
        <f>CONCATENATE(SR_Lookup[[#This Row],[Account]]," - ",SR_Lookup[[#This Row],[Account Desc]])</f>
        <v>760003 - Budget OCO-Interest Expense</v>
      </c>
    </row>
    <row r="630" spans="2:6">
      <c r="B630">
        <v>760004</v>
      </c>
      <c r="C630" t="s">
        <v>1654</v>
      </c>
      <c r="D630" t="s">
        <v>1841</v>
      </c>
      <c r="F630" t="str">
        <f>CONCATENATE(SR_Lookup[[#This Row],[Account]]," - ",SR_Lookup[[#This Row],[Account Desc]])</f>
        <v>760004 - Budget OCO-Leases/Install Prch</v>
      </c>
    </row>
    <row r="631" spans="2:6">
      <c r="B631">
        <v>760005</v>
      </c>
      <c r="C631" t="s">
        <v>1655</v>
      </c>
      <c r="D631" t="s">
        <v>1841</v>
      </c>
      <c r="F631" t="str">
        <f>CONCATENATE(SR_Lookup[[#This Row],[Account]]," - ",SR_Lookup[[#This Row],[Account Desc]])</f>
        <v>760005 - Budget OCO-Debt Service</v>
      </c>
    </row>
    <row r="632" spans="2:6">
      <c r="B632">
        <v>760101</v>
      </c>
      <c r="C632" t="s">
        <v>1145</v>
      </c>
      <c r="D632" t="s">
        <v>1340</v>
      </c>
      <c r="F632" t="str">
        <f>CONCATENATE(SR_Lookup[[#This Row],[Account]]," - ",SR_Lookup[[#This Row],[Account Desc]])</f>
        <v>760101 - Non Library Pub/Book Capital</v>
      </c>
    </row>
    <row r="633" spans="2:6">
      <c r="B633">
        <v>760201</v>
      </c>
      <c r="C633" t="s">
        <v>1146</v>
      </c>
      <c r="D633" t="s">
        <v>1340</v>
      </c>
      <c r="F633" t="str">
        <f>CONCATENATE(SR_Lookup[[#This Row],[Account]]," - ",SR_Lookup[[#This Row],[Account Desc]])</f>
        <v>760201 - Equip Office/Other Capital</v>
      </c>
    </row>
    <row r="634" spans="2:6">
      <c r="B634">
        <v>760210</v>
      </c>
      <c r="C634" t="s">
        <v>1147</v>
      </c>
      <c r="D634" t="s">
        <v>1340</v>
      </c>
      <c r="F634" t="str">
        <f>CONCATENATE(SR_Lookup[[#This Row],[Account]]," - ",SR_Lookup[[#This Row],[Account Desc]])</f>
        <v>760210 - CIP Equipment</v>
      </c>
    </row>
    <row r="635" spans="2:6">
      <c r="B635">
        <v>760301</v>
      </c>
      <c r="C635" t="s">
        <v>1148</v>
      </c>
      <c r="D635" t="s">
        <v>1340</v>
      </c>
      <c r="F635" t="str">
        <f>CONCATENATE(SR_Lookup[[#This Row],[Account]]," - ",SR_Lookup[[#This Row],[Account Desc]])</f>
        <v>760301 - Misc Education Equip Cap</v>
      </c>
    </row>
    <row r="636" spans="2:6">
      <c r="B636">
        <v>760310</v>
      </c>
      <c r="C636" t="s">
        <v>1149</v>
      </c>
      <c r="D636" t="s">
        <v>1340</v>
      </c>
      <c r="F636" t="str">
        <f>CONCATENATE(SR_Lookup[[#This Row],[Account]]," - ",SR_Lookup[[#This Row],[Account Desc]])</f>
        <v>760310 - Equip Lab/Medical Capital</v>
      </c>
    </row>
    <row r="637" spans="2:6">
      <c r="B637">
        <v>760311</v>
      </c>
      <c r="C637" t="s">
        <v>1150</v>
      </c>
      <c r="D637" t="s">
        <v>1340</v>
      </c>
      <c r="F637" t="str">
        <f>CONCATENATE(SR_Lookup[[#This Row],[Account]]," - ",SR_Lookup[[#This Row],[Account Desc]])</f>
        <v>760311 - Musical Instruments Capital</v>
      </c>
    </row>
    <row r="638" spans="2:6">
      <c r="B638">
        <v>760331</v>
      </c>
      <c r="C638" t="s">
        <v>1151</v>
      </c>
      <c r="D638" t="s">
        <v>1340</v>
      </c>
      <c r="F638" t="str">
        <f>CONCATENATE(SR_Lookup[[#This Row],[Account]]," - ",SR_Lookup[[#This Row],[Account Desc]])</f>
        <v>760331 - Equip Athletic Capital</v>
      </c>
    </row>
    <row r="639" spans="2:6">
      <c r="B639">
        <v>760361</v>
      </c>
      <c r="C639" t="s">
        <v>1152</v>
      </c>
      <c r="D639" t="s">
        <v>1340</v>
      </c>
      <c r="F639" t="str">
        <f>CONCATENATE(SR_Lookup[[#This Row],[Account]]," - ",SR_Lookup[[#This Row],[Account Desc]])</f>
        <v>760361 - Equip Audio/Visual Capital</v>
      </c>
    </row>
    <row r="640" spans="2:6">
      <c r="B640">
        <v>760601</v>
      </c>
      <c r="C640" t="s">
        <v>1153</v>
      </c>
      <c r="D640" t="s">
        <v>1340</v>
      </c>
      <c r="F640" t="str">
        <f>CONCATENATE(SR_Lookup[[#This Row],[Account]]," - ",SR_Lookup[[#This Row],[Account Desc]])</f>
        <v>760601 - Equip Computer/IT Capital</v>
      </c>
    </row>
    <row r="641" spans="2:6">
      <c r="B641">
        <v>760621</v>
      </c>
      <c r="C641" t="s">
        <v>1154</v>
      </c>
      <c r="D641" t="s">
        <v>1340</v>
      </c>
      <c r="F641" t="str">
        <f>CONCATENATE(SR_Lookup[[#This Row],[Account]]," - ",SR_Lookup[[#This Row],[Account Desc]])</f>
        <v>760621 - Software Capital</v>
      </c>
    </row>
    <row r="642" spans="2:6">
      <c r="B642">
        <v>760651</v>
      </c>
      <c r="C642" t="s">
        <v>1155</v>
      </c>
      <c r="D642" t="s">
        <v>1340</v>
      </c>
      <c r="F642" t="str">
        <f>CONCATENATE(SR_Lookup[[#This Row],[Account]]," - ",SR_Lookup[[#This Row],[Account Desc]])</f>
        <v>760651 - Equip Telecom Capital</v>
      </c>
    </row>
    <row r="643" spans="2:6">
      <c r="B643">
        <v>760701</v>
      </c>
      <c r="C643" t="s">
        <v>1156</v>
      </c>
      <c r="D643" t="s">
        <v>1340</v>
      </c>
      <c r="F643" t="str">
        <f>CONCATENATE(SR_Lookup[[#This Row],[Account]]," - ",SR_Lookup[[#This Row],[Account Desc]])</f>
        <v>760701 - Motor Vehicles Capital</v>
      </c>
    </row>
    <row r="644" spans="2:6">
      <c r="B644">
        <v>760801</v>
      </c>
      <c r="C644" t="s">
        <v>1157</v>
      </c>
      <c r="D644" t="s">
        <v>1340</v>
      </c>
      <c r="F644" t="str">
        <f>CONCATENATE(SR_Lookup[[#This Row],[Account]]," - ",SR_Lookup[[#This Row],[Account Desc]])</f>
        <v>760801 - Motor Vehicles Other</v>
      </c>
    </row>
    <row r="645" spans="2:6">
      <c r="B645">
        <v>760901</v>
      </c>
      <c r="C645" t="s">
        <v>1820</v>
      </c>
      <c r="D645" t="s">
        <v>1340</v>
      </c>
      <c r="F645" t="str">
        <f>CONCATENATE(SR_Lookup[[#This Row],[Account]]," - ",SR_Lookup[[#This Row],[Account Desc]])</f>
        <v>760901 - Other Asset Capital</v>
      </c>
    </row>
    <row r="646" spans="2:6">
      <c r="B646">
        <v>760902</v>
      </c>
      <c r="C646" t="s">
        <v>1159</v>
      </c>
      <c r="D646" t="s">
        <v>1340</v>
      </c>
      <c r="F646" t="str">
        <f>CONCATENATE(SR_Lookup[[#This Row],[Account]]," - ",SR_Lookup[[#This Row],[Account Desc]])</f>
        <v>760902 - Artwork Capital</v>
      </c>
    </row>
    <row r="647" spans="2:6">
      <c r="B647">
        <v>761001</v>
      </c>
      <c r="C647" t="s">
        <v>1650</v>
      </c>
      <c r="D647" t="s">
        <v>1340</v>
      </c>
      <c r="F647" t="str">
        <f>CONCATENATE(SR_Lookup[[#This Row],[Account]]," - ",SR_Lookup[[#This Row],[Account Desc]])</f>
        <v>761001 - Modular Buildings Capital</v>
      </c>
    </row>
    <row r="648" spans="2:6">
      <c r="B648">
        <v>761201</v>
      </c>
      <c r="C648" t="s">
        <v>1821</v>
      </c>
      <c r="D648" t="s">
        <v>1843</v>
      </c>
      <c r="F648" t="str">
        <f>CONCATENATE(SR_Lookup[[#This Row],[Account]]," - ",SR_Lookup[[#This Row],[Account Desc]])</f>
        <v>761201 - Land and Other Real Property</v>
      </c>
    </row>
    <row r="649" spans="2:6">
      <c r="B649">
        <v>761301</v>
      </c>
      <c r="C649" t="s">
        <v>1161</v>
      </c>
      <c r="D649" t="s">
        <v>1340</v>
      </c>
      <c r="F649" t="str">
        <f>CONCATENATE(SR_Lookup[[#This Row],[Account]]," - ",SR_Lookup[[#This Row],[Account Desc]])</f>
        <v>761301 - Equip Maintenance Capital</v>
      </c>
    </row>
    <row r="650" spans="2:6">
      <c r="B650">
        <v>761401</v>
      </c>
      <c r="C650" t="s">
        <v>1162</v>
      </c>
      <c r="D650" t="s">
        <v>1340</v>
      </c>
      <c r="F650" t="str">
        <f>CONCATENATE(SR_Lookup[[#This Row],[Account]]," - ",SR_Lookup[[#This Row],[Account Desc]])</f>
        <v>761401 - Other Real Property</v>
      </c>
    </row>
    <row r="651" spans="2:6">
      <c r="B651">
        <v>761501</v>
      </c>
      <c r="C651" t="s">
        <v>1652</v>
      </c>
      <c r="D651" t="s">
        <v>1841</v>
      </c>
      <c r="F651" t="str">
        <f>CONCATENATE(SR_Lookup[[#This Row],[Account]]," - ",SR_Lookup[[#This Row],[Account Desc]])</f>
        <v>761501 - Install Purch/Lease Interest</v>
      </c>
    </row>
    <row r="652" spans="2:6">
      <c r="B652">
        <v>761502</v>
      </c>
      <c r="C652" t="s">
        <v>1164</v>
      </c>
      <c r="D652" t="s">
        <v>1841</v>
      </c>
      <c r="F652" t="str">
        <f>CONCATENATE(SR_Lookup[[#This Row],[Account]]," - ",SR_Lookup[[#This Row],[Account Desc]])</f>
        <v>761502 - Debt Svc Interest CPU Memory</v>
      </c>
    </row>
    <row r="653" spans="2:6">
      <c r="B653">
        <v>761503</v>
      </c>
      <c r="C653" t="s">
        <v>1165</v>
      </c>
      <c r="D653" t="s">
        <v>1841</v>
      </c>
      <c r="F653" t="str">
        <f>CONCATENATE(SR_Lookup[[#This Row],[Account]]," - ",SR_Lookup[[#This Row],[Account Desc]])</f>
        <v>761503 - Debt Svc Interest Disk</v>
      </c>
    </row>
    <row r="654" spans="2:6">
      <c r="B654">
        <v>761601</v>
      </c>
      <c r="C654" t="s">
        <v>1166</v>
      </c>
      <c r="D654" t="s">
        <v>1841</v>
      </c>
      <c r="F654" t="str">
        <f>CONCATENATE(SR_Lookup[[#This Row],[Account]]," - ",SR_Lookup[[#This Row],[Account Desc]])</f>
        <v>761601 - Principal Installment Purchase</v>
      </c>
    </row>
    <row r="655" spans="2:6">
      <c r="B655">
        <v>761602</v>
      </c>
      <c r="C655" t="s">
        <v>1167</v>
      </c>
      <c r="D655" t="s">
        <v>1841</v>
      </c>
      <c r="F655" t="str">
        <f>CONCATENATE(SR_Lookup[[#This Row],[Account]]," - ",SR_Lookup[[#This Row],[Account Desc]])</f>
        <v>761602 - Debt Svc Principal CPU Memory</v>
      </c>
    </row>
    <row r="656" spans="2:6">
      <c r="B656">
        <v>761603</v>
      </c>
      <c r="C656" t="s">
        <v>1822</v>
      </c>
      <c r="D656" t="s">
        <v>1340</v>
      </c>
      <c r="F656" t="str">
        <f>CONCATENATE(SR_Lookup[[#This Row],[Account]]," - ",SR_Lookup[[#This Row],[Account Desc]])</f>
        <v>761603 - Freight/Shipping Capital</v>
      </c>
    </row>
    <row r="657" spans="2:6">
      <c r="B657">
        <v>761604</v>
      </c>
      <c r="C657" t="s">
        <v>1176</v>
      </c>
      <c r="D657" t="s">
        <v>1841</v>
      </c>
      <c r="F657" t="str">
        <f>CONCATENATE(SR_Lookup[[#This Row],[Account]]," - ",SR_Lookup[[#This Row],[Account Desc]])</f>
        <v>761604 - Debt Service Principal</v>
      </c>
    </row>
    <row r="658" spans="2:6">
      <c r="B658">
        <v>761605</v>
      </c>
      <c r="C658" t="s">
        <v>1170</v>
      </c>
      <c r="D658" t="s">
        <v>1841</v>
      </c>
      <c r="F658" t="str">
        <f>CONCATENATE(SR_Lookup[[#This Row],[Account]]," - ",SR_Lookup[[#This Row],[Account Desc]])</f>
        <v>761605 - Debt Svc Principal Copiers</v>
      </c>
    </row>
    <row r="659" spans="2:6">
      <c r="B659">
        <v>761606</v>
      </c>
      <c r="C659" t="s">
        <v>1171</v>
      </c>
      <c r="D659" t="s">
        <v>1841</v>
      </c>
      <c r="F659" t="str">
        <f>CONCATENATE(SR_Lookup[[#This Row],[Account]]," - ",SR_Lookup[[#This Row],[Account Desc]])</f>
        <v>761606 - Principal Capital Lease</v>
      </c>
    </row>
    <row r="660" spans="2:6">
      <c r="B660">
        <v>770000</v>
      </c>
      <c r="C660" t="s">
        <v>1172</v>
      </c>
      <c r="D660" t="s">
        <v>1841</v>
      </c>
      <c r="F660" t="str">
        <f>CONCATENATE(SR_Lookup[[#This Row],[Account]]," - ",SR_Lookup[[#This Row],[Account Desc]])</f>
        <v>770000 - Budget - Non-Operating</v>
      </c>
    </row>
    <row r="661" spans="2:6">
      <c r="B661">
        <v>780000</v>
      </c>
      <c r="C661" t="s">
        <v>1173</v>
      </c>
      <c r="D661" t="s">
        <v>1841</v>
      </c>
      <c r="F661" t="str">
        <f>CONCATENATE(SR_Lookup[[#This Row],[Account]]," - ",SR_Lookup[[#This Row],[Account Desc]])</f>
        <v>780000 - Budget FCO</v>
      </c>
    </row>
    <row r="662" spans="2:6">
      <c r="B662">
        <v>780001</v>
      </c>
      <c r="C662" t="s">
        <v>1174</v>
      </c>
      <c r="D662" t="s">
        <v>1843</v>
      </c>
      <c r="F662" t="str">
        <f>CONCATENATE(SR_Lookup[[#This Row],[Account]]," - ",SR_Lookup[[#This Row],[Account Desc]])</f>
        <v>780001 - CIP Facilities</v>
      </c>
    </row>
    <row r="663" spans="2:6">
      <c r="B663">
        <v>780010</v>
      </c>
      <c r="C663" t="s">
        <v>1175</v>
      </c>
      <c r="D663" t="s">
        <v>1841</v>
      </c>
      <c r="F663" t="str">
        <f>CONCATENATE(SR_Lookup[[#This Row],[Account]]," - ",SR_Lookup[[#This Row],[Account Desc]])</f>
        <v>780010 - Budget Debt Svc</v>
      </c>
    </row>
    <row r="664" spans="2:6">
      <c r="B664">
        <v>780011</v>
      </c>
      <c r="C664" t="s">
        <v>1176</v>
      </c>
      <c r="D664" t="s">
        <v>1841</v>
      </c>
      <c r="F664" t="str">
        <f>CONCATENATE(SR_Lookup[[#This Row],[Account]]," - ",SR_Lookup[[#This Row],[Account Desc]])</f>
        <v>780011 - Debt Service Principal</v>
      </c>
    </row>
    <row r="665" spans="2:6">
      <c r="B665">
        <v>780012</v>
      </c>
      <c r="C665" t="s">
        <v>1177</v>
      </c>
      <c r="D665" t="s">
        <v>1841</v>
      </c>
      <c r="F665" t="str">
        <f>CONCATENATE(SR_Lookup[[#This Row],[Account]]," - ",SR_Lookup[[#This Row],[Account Desc]])</f>
        <v>780012 - Debt Service Interest</v>
      </c>
    </row>
    <row r="666" spans="2:6">
      <c r="B666">
        <v>780013</v>
      </c>
      <c r="C666" t="s">
        <v>1178</v>
      </c>
      <c r="D666" t="s">
        <v>1841</v>
      </c>
      <c r="F666" t="str">
        <f>CONCATENATE(SR_Lookup[[#This Row],[Account]]," - ",SR_Lookup[[#This Row],[Account Desc]])</f>
        <v>780013 - Univ Bond Admin Fees</v>
      </c>
    </row>
    <row r="667" spans="2:6">
      <c r="B667">
        <v>780100</v>
      </c>
      <c r="C667" t="s">
        <v>1179</v>
      </c>
      <c r="D667" t="s">
        <v>1841</v>
      </c>
      <c r="F667" t="str">
        <f>CONCATENATE(SR_Lookup[[#This Row],[Account]]," - ",SR_Lookup[[#This Row],[Account Desc]])</f>
        <v>780100 - Budget Intra-Fnd Transf</v>
      </c>
    </row>
    <row r="668" spans="2:6">
      <c r="B668">
        <v>780101</v>
      </c>
      <c r="C668" t="s">
        <v>1180</v>
      </c>
      <c r="D668" t="s">
        <v>1843</v>
      </c>
      <c r="F668" t="str">
        <f>CONCATENATE(SR_Lookup[[#This Row],[Account]]," - ",SR_Lookup[[#This Row],[Account Desc]])</f>
        <v>780101 - Tfr Out Within FSU Intra Fund</v>
      </c>
    </row>
    <row r="669" spans="2:6">
      <c r="B669">
        <v>780102</v>
      </c>
      <c r="C669" t="s">
        <v>1508</v>
      </c>
      <c r="D669" t="s">
        <v>1843</v>
      </c>
      <c r="F669" t="str">
        <f>CONCATENATE(SR_Lookup[[#This Row],[Account]]," - ",SR_Lookup[[#This Row],[Account Desc]])</f>
        <v>780102 - Trf Out Non-Exch w/in FSU</v>
      </c>
    </row>
    <row r="670" spans="2:6">
      <c r="B670">
        <v>780103</v>
      </c>
      <c r="C670" t="s">
        <v>1657</v>
      </c>
      <c r="D670" t="s">
        <v>1841</v>
      </c>
      <c r="F670" t="str">
        <f>CONCATENATE(SR_Lookup[[#This Row],[Account]]," - ",SR_Lookup[[#This Row],[Account Desc]])</f>
        <v>780103 - Trf Out Debt Service</v>
      </c>
    </row>
    <row r="671" spans="2:6">
      <c r="B671">
        <v>780104</v>
      </c>
      <c r="C671" t="s">
        <v>1183</v>
      </c>
      <c r="D671" t="s">
        <v>1841</v>
      </c>
      <c r="F671" t="str">
        <f>CONCATENATE(SR_Lookup[[#This Row],[Account]]," - ",SR_Lookup[[#This Row],[Account Desc]])</f>
        <v>780104 - R&amp;R Mandatory Trans w/in FSU</v>
      </c>
    </row>
    <row r="672" spans="2:6">
      <c r="B672">
        <v>780109</v>
      </c>
      <c r="C672" t="s">
        <v>1823</v>
      </c>
      <c r="D672" t="s">
        <v>1841</v>
      </c>
      <c r="F672" t="str">
        <f>CONCATENATE(SR_Lookup[[#This Row],[Account]]," - ",SR_Lookup[[#This Row],[Account Desc]])</f>
        <v>780109 - Trf Out E&amp;G</v>
      </c>
    </row>
    <row r="673" spans="2:6">
      <c r="B673">
        <v>780110</v>
      </c>
      <c r="C673" t="s">
        <v>1184</v>
      </c>
      <c r="D673" t="s">
        <v>1841</v>
      </c>
      <c r="F673" t="str">
        <f>CONCATENATE(SR_Lookup[[#This Row],[Account]]," - ",SR_Lookup[[#This Row],[Account Desc]])</f>
        <v>780110 - Budget Inter-Agn Transf</v>
      </c>
    </row>
    <row r="674" spans="2:6">
      <c r="B674">
        <v>780111</v>
      </c>
      <c r="C674" t="s">
        <v>1185</v>
      </c>
      <c r="D674" t="s">
        <v>1841</v>
      </c>
      <c r="F674" t="str">
        <f>CONCATENATE(SR_Lookup[[#This Row],[Account]]," - ",SR_Lookup[[#This Row],[Account Desc]])</f>
        <v>780111 - Comp Unit Operating Exp</v>
      </c>
    </row>
    <row r="675" spans="2:6">
      <c r="B675">
        <v>780112</v>
      </c>
      <c r="C675" t="s">
        <v>1186</v>
      </c>
      <c r="D675" t="s">
        <v>1843</v>
      </c>
      <c r="F675" t="str">
        <f>CONCATENATE(SR_Lookup[[#This Row],[Account]]," - ",SR_Lookup[[#This Row],[Account Desc]])</f>
        <v>780112 - Challenge Grant Trans To BOR</v>
      </c>
    </row>
    <row r="676" spans="2:6">
      <c r="B676">
        <v>780113</v>
      </c>
      <c r="C676" t="s">
        <v>1658</v>
      </c>
      <c r="D676" t="s">
        <v>1841</v>
      </c>
      <c r="F676" t="str">
        <f>CONCATENATE(SR_Lookup[[#This Row],[Account]]," - ",SR_Lookup[[#This Row],[Account Desc]])</f>
        <v>780113 - Trf Out FinAid Admin Allowance</v>
      </c>
    </row>
    <row r="677" spans="2:6">
      <c r="B677">
        <v>780120</v>
      </c>
      <c r="C677" t="s">
        <v>1659</v>
      </c>
      <c r="D677" t="s">
        <v>1843</v>
      </c>
      <c r="F677" t="str">
        <f>CONCATENATE(SR_Lookup[[#This Row],[Account]]," - ",SR_Lookup[[#This Row],[Account Desc]])</f>
        <v>780120 - Trf Out Construction</v>
      </c>
    </row>
    <row r="678" spans="2:6">
      <c r="B678">
        <v>780125</v>
      </c>
      <c r="C678" t="s">
        <v>1836</v>
      </c>
      <c r="D678" t="s">
        <v>1841</v>
      </c>
      <c r="F678" t="str">
        <f>CONCATENATE(SR_Lookup[[#This Row],[Account]]," - ",SR_Lookup[[#This Row],[Account Desc]])</f>
        <v>780125 - Budget Trf Out Construction</v>
      </c>
    </row>
    <row r="679" spans="2:6">
      <c r="B679">
        <v>780131</v>
      </c>
      <c r="C679" t="s">
        <v>1187</v>
      </c>
      <c r="D679" t="s">
        <v>1841</v>
      </c>
      <c r="F679" t="str">
        <f>CONCATENATE(SR_Lookup[[#This Row],[Account]]," - ",SR_Lookup[[#This Row],[Account Desc]])</f>
        <v>780131 - Transfer To Primary Gov</v>
      </c>
    </row>
    <row r="680" spans="2:6">
      <c r="B680">
        <v>780140</v>
      </c>
      <c r="C680" t="s">
        <v>1875</v>
      </c>
      <c r="D680" t="s">
        <v>1841</v>
      </c>
      <c r="F680" t="str">
        <f>CONCATENATE(SR_Lookup[[#This Row],[Account]]," - ",SR_Lookup[[#This Row],[Account Desc]])</f>
        <v>780140 - Budget Transfer Out NonExch</v>
      </c>
    </row>
    <row r="681" spans="2:6">
      <c r="B681">
        <v>780150</v>
      </c>
      <c r="C681" t="s">
        <v>1189</v>
      </c>
      <c r="D681" t="s">
        <v>1841</v>
      </c>
      <c r="F681" t="str">
        <f>CONCATENATE(SR_Lookup[[#This Row],[Account]]," - ",SR_Lookup[[#This Row],[Account Desc]])</f>
        <v>780150 - Budget I&amp;S Inter-Agn Transf</v>
      </c>
    </row>
    <row r="682" spans="2:6">
      <c r="B682">
        <v>780160</v>
      </c>
      <c r="C682" t="s">
        <v>1190</v>
      </c>
      <c r="D682" t="s">
        <v>1841</v>
      </c>
      <c r="F682" t="str">
        <f>CONCATENATE(SR_Lookup[[#This Row],[Account]]," - ",SR_Lookup[[#This Row],[Account Desc]])</f>
        <v>780160 - Budget OH Assessment Intra-Fnd</v>
      </c>
    </row>
    <row r="683" spans="2:6">
      <c r="B683">
        <v>780161</v>
      </c>
      <c r="C683" t="s">
        <v>1191</v>
      </c>
      <c r="D683" t="s">
        <v>1841</v>
      </c>
      <c r="F683" t="str">
        <f>CONCATENATE(SR_Lookup[[#This Row],[Account]]," - ",SR_Lookup[[#This Row],[Account Desc]])</f>
        <v>780161 - Tfr Out O/H Assess Intra Fund</v>
      </c>
    </row>
    <row r="684" spans="2:6">
      <c r="B684">
        <v>780170</v>
      </c>
      <c r="C684" t="s">
        <v>1192</v>
      </c>
      <c r="D684" t="s">
        <v>1841</v>
      </c>
      <c r="F684" t="str">
        <f>CONCATENATE(SR_Lookup[[#This Row],[Account]]," - ",SR_Lookup[[#This Row],[Account Desc]])</f>
        <v>780170 - Budget OH Assessment Inter-Fnd</v>
      </c>
    </row>
    <row r="685" spans="2:6">
      <c r="B685">
        <v>780171</v>
      </c>
      <c r="C685" t="s">
        <v>1660</v>
      </c>
      <c r="D685" t="s">
        <v>1841</v>
      </c>
      <c r="F685" t="str">
        <f>CONCATENATE(SR_Lookup[[#This Row],[Account]]," - ",SR_Lookup[[#This Row],[Account Desc]])</f>
        <v>780171 - Trf Out O/H Assessment</v>
      </c>
    </row>
    <row r="686" spans="2:6">
      <c r="B686">
        <v>780200</v>
      </c>
      <c r="C686" t="s">
        <v>1194</v>
      </c>
      <c r="D686" t="s">
        <v>1841</v>
      </c>
      <c r="F686" t="str">
        <f>CONCATENATE(SR_Lookup[[#This Row],[Account]]," - ",SR_Lookup[[#This Row],[Account Desc]])</f>
        <v>780200 - Budget Tr GiftFee Match</v>
      </c>
    </row>
    <row r="687" spans="2:6">
      <c r="B687">
        <v>780201</v>
      </c>
      <c r="C687" t="s">
        <v>1195</v>
      </c>
      <c r="D687" t="s">
        <v>1841</v>
      </c>
      <c r="F687" t="str">
        <f>CONCATENATE(SR_Lookup[[#This Row],[Account]]," - ",SR_Lookup[[#This Row],[Account Desc]])</f>
        <v>780201 - Non Operating Expense Other</v>
      </c>
    </row>
    <row r="688" spans="2:6">
      <c r="B688">
        <v>780300</v>
      </c>
      <c r="C688" t="s">
        <v>1196</v>
      </c>
      <c r="D688" t="s">
        <v>1841</v>
      </c>
      <c r="F688" t="str">
        <f>CONCATENATE(SR_Lookup[[#This Row],[Account]]," - ",SR_Lookup[[#This Row],[Account Desc]])</f>
        <v>780300 - Budget Indirect Costs</v>
      </c>
    </row>
    <row r="689" spans="2:6">
      <c r="B689">
        <v>780301</v>
      </c>
      <c r="C689" t="s">
        <v>1197</v>
      </c>
      <c r="D689" t="s">
        <v>1346</v>
      </c>
      <c r="F689" t="str">
        <f>CONCATENATE(SR_Lookup[[#This Row],[Account]]," - ",SR_Lookup[[#This Row],[Account Desc]])</f>
        <v>780301 - Contract &amp; Grant Overhead</v>
      </c>
    </row>
    <row r="690" spans="2:6">
      <c r="B690">
        <v>780302</v>
      </c>
      <c r="C690" t="s">
        <v>1824</v>
      </c>
      <c r="D690" t="s">
        <v>1346</v>
      </c>
      <c r="F690" t="str">
        <f>CONCATENATE(SR_Lookup[[#This Row],[Account]]," - ",SR_Lookup[[#This Row],[Account Desc]])</f>
        <v>780302 - Admin Fee - FSU Foundation</v>
      </c>
    </row>
    <row r="691" spans="2:6">
      <c r="B691">
        <v>780303</v>
      </c>
      <c r="C691" t="s">
        <v>1198</v>
      </c>
      <c r="D691" t="s">
        <v>1841</v>
      </c>
      <c r="F691" t="str">
        <f>CONCATENATE(SR_Lookup[[#This Row],[Account]]," - ",SR_Lookup[[#This Row],[Account Desc]])</f>
        <v>780303 - Budget L4 Indirect Cost</v>
      </c>
    </row>
    <row r="692" spans="2:6">
      <c r="B692">
        <v>789100</v>
      </c>
      <c r="C692" t="s">
        <v>1825</v>
      </c>
      <c r="D692" t="s">
        <v>1841</v>
      </c>
      <c r="F692" t="str">
        <f>CONCATENATE(SR_Lookup[[#This Row],[Account]]," - ",SR_Lookup[[#This Row],[Account Desc]])</f>
        <v>789100 - Investment Expense</v>
      </c>
    </row>
    <row r="693" spans="2:6">
      <c r="B693">
        <v>790000</v>
      </c>
      <c r="C693" t="s">
        <v>1199</v>
      </c>
      <c r="D693" t="s">
        <v>1847</v>
      </c>
      <c r="F693" t="str">
        <f>CONCATENATE(SR_Lookup[[#This Row],[Account]]," - ",SR_Lookup[[#This Row],[Account Desc]])</f>
        <v>790000 - Depreciation Expense</v>
      </c>
    </row>
    <row r="694" spans="2:6">
      <c r="B694">
        <v>790001</v>
      </c>
      <c r="C694" t="s">
        <v>1200</v>
      </c>
      <c r="D694" t="s">
        <v>1847</v>
      </c>
      <c r="F694" t="str">
        <f>CONCATENATE(SR_Lookup[[#This Row],[Account]]," - ",SR_Lookup[[#This Row],[Account Desc]])</f>
        <v>790001 - Gain or Loss on Disposal of FA</v>
      </c>
    </row>
    <row r="695" spans="2:6">
      <c r="B695">
        <v>790002</v>
      </c>
      <c r="C695" t="s">
        <v>1201</v>
      </c>
      <c r="D695" t="s">
        <v>1847</v>
      </c>
      <c r="F695" t="str">
        <f>CONCATENATE(SR_Lookup[[#This Row],[Account]]," - ",SR_Lookup[[#This Row],[Account Desc]])</f>
        <v>790002 - Unrealized Gains Losses</v>
      </c>
    </row>
    <row r="696" spans="2:6">
      <c r="B696">
        <v>790005</v>
      </c>
      <c r="C696" t="s">
        <v>1662</v>
      </c>
      <c r="D696" t="s">
        <v>1847</v>
      </c>
      <c r="F696" t="str">
        <f>CONCATENATE(SR_Lookup[[#This Row],[Account]]," - ",SR_Lookup[[#This Row],[Account Desc]])</f>
        <v>790005 - Prepaid Amortization Expense</v>
      </c>
    </row>
    <row r="697" spans="2:6">
      <c r="B697">
        <v>790012</v>
      </c>
      <c r="C697" t="s">
        <v>1663</v>
      </c>
      <c r="D697" t="s">
        <v>1847</v>
      </c>
      <c r="F697" t="str">
        <f>CONCATENATE(SR_Lookup[[#This Row],[Account]]," - ",SR_Lookup[[#This Row],[Account Desc]])</f>
        <v>790012 - Trf Out Capital Property</v>
      </c>
    </row>
    <row r="698" spans="2:6">
      <c r="B698">
        <v>799997</v>
      </c>
      <c r="C698" t="s">
        <v>1203</v>
      </c>
      <c r="D698" t="s">
        <v>1847</v>
      </c>
      <c r="F698" t="str">
        <f>CONCATENATE(SR_Lookup[[#This Row],[Account]]," - ",SR_Lookup[[#This Row],[Account Desc]])</f>
        <v>799997 - Capitalized Exp Offset Mat Sup</v>
      </c>
    </row>
    <row r="699" spans="2:6">
      <c r="B699">
        <v>799998</v>
      </c>
      <c r="C699" t="s">
        <v>1204</v>
      </c>
      <c r="D699" t="s">
        <v>1847</v>
      </c>
      <c r="F699" t="str">
        <f>CONCATENATE(SR_Lookup[[#This Row],[Account]]," - ",SR_Lookup[[#This Row],[Account Desc]])</f>
        <v>799998 - Capitalized Exp Offset FCO</v>
      </c>
    </row>
    <row r="700" spans="2:6">
      <c r="B700">
        <v>799999</v>
      </c>
      <c r="C700" t="s">
        <v>1205</v>
      </c>
      <c r="D700" t="s">
        <v>1847</v>
      </c>
      <c r="F700" t="str">
        <f>CONCATENATE(SR_Lookup[[#This Row],[Account]]," - ",SR_Lookup[[#This Row],[Account Desc]])</f>
        <v>799999 - Capitalized Exp Offset OCO</v>
      </c>
    </row>
    <row r="701" spans="2:6">
      <c r="B701">
        <v>990000</v>
      </c>
      <c r="C701" t="s">
        <v>1206</v>
      </c>
      <c r="D701" t="s">
        <v>1847</v>
      </c>
      <c r="F701" t="str">
        <f>CONCATENATE(SR_Lookup[[#This Row],[Account]]," - ",SR_Lookup[[#This Row],[Account Desc]])</f>
        <v>990000 - Budget - Excluded</v>
      </c>
    </row>
    <row r="702" spans="2:6">
      <c r="B702">
        <v>990003</v>
      </c>
      <c r="C702" t="s">
        <v>1207</v>
      </c>
      <c r="D702" t="s">
        <v>1847</v>
      </c>
      <c r="F702" t="str">
        <f>CONCATENATE(SR_Lookup[[#This Row],[Account]]," - ",SR_Lookup[[#This Row],[Account Desc]])</f>
        <v>990003 - Budget - Excluded L4</v>
      </c>
    </row>
    <row r="703" spans="2:6">
      <c r="B703">
        <v>999001</v>
      </c>
      <c r="C703" t="s">
        <v>1876</v>
      </c>
      <c r="D703" t="s">
        <v>1847</v>
      </c>
      <c r="F703" t="str">
        <f>CONCATENATE(SR_Lookup[[#This Row],[Account]]," - ",SR_Lookup[[#This Row],[Account Desc]])</f>
        <v>999001 - Budget Unallocated Balance</v>
      </c>
    </row>
    <row r="704" spans="2:6">
      <c r="B704">
        <v>999002</v>
      </c>
      <c r="C704" t="s">
        <v>1877</v>
      </c>
      <c r="D704" t="s">
        <v>1847</v>
      </c>
      <c r="F704" t="str">
        <f>CONCATENATE(SR_Lookup[[#This Row],[Account]]," - ",SR_Lookup[[#This Row],[Account Desc]])</f>
        <v>999002 - Budget Addition to Fund Balanc</v>
      </c>
    </row>
    <row r="705" spans="2:6">
      <c r="B705">
        <v>999003</v>
      </c>
      <c r="C705" t="s">
        <v>1878</v>
      </c>
      <c r="D705" t="s">
        <v>1847</v>
      </c>
      <c r="F705" t="str">
        <f>CONCATENATE(SR_Lookup[[#This Row],[Account]]," - ",SR_Lookup[[#This Row],[Account Desc]])</f>
        <v>999003 - 7% Statutory Reserve</v>
      </c>
    </row>
    <row r="706" spans="2:6">
      <c r="B706">
        <v>999994</v>
      </c>
      <c r="C706" t="s">
        <v>1208</v>
      </c>
      <c r="D706" t="s">
        <v>1847</v>
      </c>
      <c r="F706" t="str">
        <f>CONCATENATE(SR_Lookup[[#This Row],[Account]]," - ",SR_Lookup[[#This Row],[Account Desc]])</f>
        <v>999994 - HR Payroll Suspense</v>
      </c>
    </row>
    <row r="707" spans="2:6">
      <c r="B707">
        <v>999995</v>
      </c>
      <c r="C707" t="s">
        <v>1209</v>
      </c>
      <c r="D707" t="s">
        <v>1847</v>
      </c>
      <c r="F707" t="str">
        <f>CONCATENATE(SR_Lookup[[#This Row],[Account]]," - ",SR_Lookup[[#This Row],[Account Desc]])</f>
        <v>999995 - Dummy Account IDB</v>
      </c>
    </row>
    <row r="708" spans="2:6">
      <c r="B708">
        <v>999996</v>
      </c>
      <c r="C708" t="s">
        <v>1210</v>
      </c>
      <c r="D708" t="s">
        <v>1847</v>
      </c>
      <c r="F708" t="str">
        <f>CONCATENATE(SR_Lookup[[#This Row],[Account]]," - ",SR_Lookup[[#This Row],[Account Desc]])</f>
        <v>999996 - Dummy Account HR</v>
      </c>
    </row>
    <row r="709" spans="2:6">
      <c r="B709">
        <v>999997</v>
      </c>
      <c r="C709" t="s">
        <v>1211</v>
      </c>
      <c r="D709" t="s">
        <v>1847</v>
      </c>
      <c r="F709" t="str">
        <f>CONCATENATE(SR_Lookup[[#This Row],[Account]]," - ",SR_Lookup[[#This Row],[Account Desc]])</f>
        <v>999997 - Dummy Account SR</v>
      </c>
    </row>
    <row r="710" spans="2:6">
      <c r="B710">
        <v>999998</v>
      </c>
      <c r="C710" t="s">
        <v>1212</v>
      </c>
      <c r="D710" t="s">
        <v>1847</v>
      </c>
      <c r="F710" t="str">
        <f>CONCATENATE(SR_Lookup[[#This Row],[Account]]," - ",SR_Lookup[[#This Row],[Account Desc]])</f>
        <v>999998 - Dummy Account AP</v>
      </c>
    </row>
    <row r="711" spans="2:6">
      <c r="B711">
        <v>999999</v>
      </c>
      <c r="C711" t="s">
        <v>1213</v>
      </c>
      <c r="D711" t="s">
        <v>1847</v>
      </c>
      <c r="F711" t="str">
        <f>CONCATENATE(SR_Lookup[[#This Row],[Account]]," - ",SR_Lookup[[#This Row],[Account Desc]])</f>
        <v>999999 - Dummy Account AM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524"/>
  <sheetViews>
    <sheetView topLeftCell="A497" workbookViewId="0">
      <selection activeCell="F524" sqref="A2:F524"/>
    </sheetView>
  </sheetViews>
  <sheetFormatPr defaultColWidth="9.26953125" defaultRowHeight="14.5"/>
  <cols>
    <col min="1" max="1" width="13" customWidth="1"/>
    <col min="2" max="2" width="32.54296875" bestFit="1" customWidth="1"/>
    <col min="3" max="3" width="18.81640625" customWidth="1"/>
    <col min="4" max="4" width="29.7265625" bestFit="1" customWidth="1"/>
    <col min="5" max="5" width="23" bestFit="1" customWidth="1"/>
    <col min="6" max="6" width="32.54296875" bestFit="1" customWidth="1"/>
    <col min="7" max="7" width="19.453125" bestFit="1" customWidth="1"/>
  </cols>
  <sheetData>
    <row r="1" spans="1:7">
      <c r="A1" t="s">
        <v>1453</v>
      </c>
      <c r="B1" t="s">
        <v>1563</v>
      </c>
      <c r="C1" t="s">
        <v>1556</v>
      </c>
      <c r="D1" t="s">
        <v>1564</v>
      </c>
      <c r="E1" t="s">
        <v>1565</v>
      </c>
      <c r="F1" t="s">
        <v>1566</v>
      </c>
      <c r="G1" t="s">
        <v>1278</v>
      </c>
    </row>
    <row r="2" spans="1:7" s="49" customFormat="1">
      <c r="A2">
        <v>710011</v>
      </c>
      <c r="B2" t="s">
        <v>1735</v>
      </c>
      <c r="C2">
        <v>710200</v>
      </c>
      <c r="D2" t="s">
        <v>1567</v>
      </c>
      <c r="E2"/>
      <c r="F2"/>
    </row>
    <row r="3" spans="1:7" s="49" customFormat="1">
      <c r="A3">
        <v>710012</v>
      </c>
      <c r="B3" t="s">
        <v>1736</v>
      </c>
      <c r="C3">
        <v>710200</v>
      </c>
      <c r="D3" t="s">
        <v>1567</v>
      </c>
      <c r="E3"/>
      <c r="F3"/>
    </row>
    <row r="4" spans="1:7" s="49" customFormat="1">
      <c r="A4">
        <v>710013</v>
      </c>
      <c r="B4" t="s">
        <v>1737</v>
      </c>
      <c r="C4">
        <v>710200</v>
      </c>
      <c r="D4" t="s">
        <v>1567</v>
      </c>
      <c r="E4"/>
      <c r="F4"/>
    </row>
    <row r="5" spans="1:7" s="49" customFormat="1">
      <c r="A5">
        <v>710018</v>
      </c>
      <c r="B5" t="s">
        <v>1738</v>
      </c>
      <c r="C5">
        <v>710200</v>
      </c>
      <c r="D5" t="s">
        <v>1567</v>
      </c>
      <c r="E5"/>
      <c r="F5"/>
    </row>
    <row r="6" spans="1:7" s="49" customFormat="1">
      <c r="A6">
        <v>710019</v>
      </c>
      <c r="B6" t="s">
        <v>1739</v>
      </c>
      <c r="C6">
        <v>710200</v>
      </c>
      <c r="D6" t="s">
        <v>1567</v>
      </c>
      <c r="E6"/>
      <c r="F6"/>
    </row>
    <row r="7" spans="1:7" s="49" customFormat="1">
      <c r="A7">
        <v>710021</v>
      </c>
      <c r="B7" t="s">
        <v>1740</v>
      </c>
      <c r="C7">
        <v>710300</v>
      </c>
      <c r="D7" t="s">
        <v>1826</v>
      </c>
      <c r="E7"/>
      <c r="F7"/>
    </row>
    <row r="8" spans="1:7" s="49" customFormat="1">
      <c r="A8">
        <v>710022</v>
      </c>
      <c r="B8" t="s">
        <v>1741</v>
      </c>
      <c r="C8">
        <v>710300</v>
      </c>
      <c r="D8" t="s">
        <v>1826</v>
      </c>
      <c r="E8"/>
      <c r="F8"/>
    </row>
    <row r="9" spans="1:7" s="49" customFormat="1">
      <c r="A9">
        <v>710023</v>
      </c>
      <c r="B9" t="s">
        <v>1742</v>
      </c>
      <c r="C9">
        <v>710300</v>
      </c>
      <c r="D9" t="s">
        <v>1826</v>
      </c>
      <c r="E9"/>
      <c r="F9"/>
    </row>
    <row r="10" spans="1:7" s="49" customFormat="1">
      <c r="A10">
        <v>710024</v>
      </c>
      <c r="B10" t="s">
        <v>1744</v>
      </c>
      <c r="C10">
        <v>710300</v>
      </c>
      <c r="D10" t="s">
        <v>1826</v>
      </c>
      <c r="E10"/>
      <c r="F10"/>
    </row>
    <row r="11" spans="1:7" s="49" customFormat="1">
      <c r="A11">
        <v>710028</v>
      </c>
      <c r="B11" t="s">
        <v>1745</v>
      </c>
      <c r="C11">
        <v>710300</v>
      </c>
      <c r="D11" t="s">
        <v>1826</v>
      </c>
      <c r="E11"/>
      <c r="F11"/>
    </row>
    <row r="12" spans="1:7" s="49" customFormat="1">
      <c r="A12">
        <v>710029</v>
      </c>
      <c r="B12" t="s">
        <v>1746</v>
      </c>
      <c r="C12">
        <v>710300</v>
      </c>
      <c r="D12" t="s">
        <v>1826</v>
      </c>
      <c r="E12"/>
      <c r="F12"/>
    </row>
    <row r="13" spans="1:7" s="49" customFormat="1">
      <c r="A13">
        <v>710111</v>
      </c>
      <c r="B13" t="s">
        <v>60</v>
      </c>
      <c r="C13">
        <v>710200</v>
      </c>
      <c r="D13" t="s">
        <v>1567</v>
      </c>
      <c r="E13"/>
      <c r="F13"/>
    </row>
    <row r="14" spans="1:7" s="49" customFormat="1">
      <c r="A14">
        <v>710112</v>
      </c>
      <c r="B14" t="s">
        <v>61</v>
      </c>
      <c r="C14">
        <v>710200</v>
      </c>
      <c r="D14" t="s">
        <v>1567</v>
      </c>
      <c r="E14"/>
      <c r="F14"/>
    </row>
    <row r="15" spans="1:7" s="49" customFormat="1">
      <c r="A15">
        <v>710113</v>
      </c>
      <c r="B15" t="s">
        <v>62</v>
      </c>
      <c r="C15">
        <v>710200</v>
      </c>
      <c r="D15" t="s">
        <v>1567</v>
      </c>
      <c r="E15"/>
      <c r="F15"/>
    </row>
    <row r="16" spans="1:7" s="49" customFormat="1">
      <c r="A16">
        <v>710114</v>
      </c>
      <c r="B16" t="s">
        <v>63</v>
      </c>
      <c r="C16">
        <v>710200</v>
      </c>
      <c r="D16" t="s">
        <v>1567</v>
      </c>
      <c r="E16"/>
      <c r="F16"/>
    </row>
    <row r="17" spans="1:6" s="49" customFormat="1">
      <c r="A17">
        <v>710115</v>
      </c>
      <c r="B17" t="s">
        <v>64</v>
      </c>
      <c r="C17">
        <v>710200</v>
      </c>
      <c r="D17" t="s">
        <v>1567</v>
      </c>
      <c r="E17"/>
      <c r="F17"/>
    </row>
    <row r="18" spans="1:6" s="49" customFormat="1">
      <c r="A18">
        <v>710116</v>
      </c>
      <c r="B18" t="s">
        <v>65</v>
      </c>
      <c r="C18">
        <v>710200</v>
      </c>
      <c r="D18" t="s">
        <v>1567</v>
      </c>
      <c r="E18"/>
      <c r="F18"/>
    </row>
    <row r="19" spans="1:6" s="49" customFormat="1">
      <c r="A19">
        <v>710117</v>
      </c>
      <c r="B19" t="s">
        <v>1747</v>
      </c>
      <c r="C19">
        <v>710200</v>
      </c>
      <c r="D19" t="s">
        <v>1567</v>
      </c>
      <c r="E19"/>
      <c r="F19"/>
    </row>
    <row r="20" spans="1:6" s="49" customFormat="1">
      <c r="A20">
        <v>710118</v>
      </c>
      <c r="B20" t="s">
        <v>66</v>
      </c>
      <c r="C20">
        <v>710200</v>
      </c>
      <c r="D20" t="s">
        <v>1567</v>
      </c>
      <c r="E20"/>
      <c r="F20"/>
    </row>
    <row r="21" spans="1:6" s="49" customFormat="1">
      <c r="A21">
        <v>710121</v>
      </c>
      <c r="B21" t="s">
        <v>35</v>
      </c>
      <c r="C21">
        <v>710300</v>
      </c>
      <c r="D21" t="s">
        <v>1826</v>
      </c>
      <c r="E21"/>
      <c r="F21"/>
    </row>
    <row r="22" spans="1:6" s="49" customFormat="1">
      <c r="A22">
        <v>710122</v>
      </c>
      <c r="B22" t="s">
        <v>56</v>
      </c>
      <c r="C22">
        <v>710300</v>
      </c>
      <c r="D22" t="s">
        <v>1826</v>
      </c>
      <c r="E22"/>
      <c r="F22"/>
    </row>
    <row r="23" spans="1:6" s="49" customFormat="1">
      <c r="A23">
        <v>710123</v>
      </c>
      <c r="B23" t="s">
        <v>67</v>
      </c>
      <c r="C23">
        <v>710300</v>
      </c>
      <c r="D23" t="s">
        <v>1826</v>
      </c>
      <c r="E23"/>
      <c r="F23"/>
    </row>
    <row r="24" spans="1:6" s="49" customFormat="1">
      <c r="A24">
        <v>710124</v>
      </c>
      <c r="B24" t="s">
        <v>36</v>
      </c>
      <c r="C24">
        <v>710300</v>
      </c>
      <c r="D24" t="s">
        <v>1826</v>
      </c>
      <c r="E24"/>
      <c r="F24"/>
    </row>
    <row r="25" spans="1:6" s="49" customFormat="1">
      <c r="A25">
        <v>710125</v>
      </c>
      <c r="B25" t="s">
        <v>68</v>
      </c>
      <c r="C25">
        <v>710300</v>
      </c>
      <c r="D25" t="s">
        <v>1826</v>
      </c>
      <c r="E25"/>
      <c r="F25"/>
    </row>
    <row r="26" spans="1:6" s="49" customFormat="1">
      <c r="A26">
        <v>710126</v>
      </c>
      <c r="B26" t="s">
        <v>69</v>
      </c>
      <c r="C26">
        <v>710300</v>
      </c>
      <c r="D26" t="s">
        <v>1826</v>
      </c>
      <c r="E26"/>
      <c r="F26"/>
    </row>
    <row r="27" spans="1:6" s="49" customFormat="1">
      <c r="A27">
        <v>710127</v>
      </c>
      <c r="B27" t="s">
        <v>1568</v>
      </c>
      <c r="C27">
        <v>710300</v>
      </c>
      <c r="D27" t="s">
        <v>1826</v>
      </c>
      <c r="E27"/>
      <c r="F27"/>
    </row>
    <row r="28" spans="1:6" s="49" customFormat="1">
      <c r="A28">
        <v>710128</v>
      </c>
      <c r="B28" t="s">
        <v>71</v>
      </c>
      <c r="C28">
        <v>710300</v>
      </c>
      <c r="D28" t="s">
        <v>1826</v>
      </c>
      <c r="E28"/>
      <c r="F28"/>
    </row>
    <row r="29" spans="1:6" s="49" customFormat="1">
      <c r="A29">
        <v>710129</v>
      </c>
      <c r="B29" t="s">
        <v>72</v>
      </c>
      <c r="C29">
        <v>710300</v>
      </c>
      <c r="D29" t="s">
        <v>1826</v>
      </c>
      <c r="E29"/>
      <c r="F29"/>
    </row>
    <row r="30" spans="1:6" s="49" customFormat="1">
      <c r="A30">
        <v>710130</v>
      </c>
      <c r="B30" t="s">
        <v>57</v>
      </c>
      <c r="C30">
        <v>710300</v>
      </c>
      <c r="D30" t="s">
        <v>1826</v>
      </c>
      <c r="E30"/>
      <c r="F30"/>
    </row>
    <row r="31" spans="1:6" s="49" customFormat="1">
      <c r="A31">
        <v>710131</v>
      </c>
      <c r="B31" t="s">
        <v>58</v>
      </c>
      <c r="C31">
        <v>710300</v>
      </c>
      <c r="D31" t="s">
        <v>1826</v>
      </c>
      <c r="E31"/>
      <c r="F31"/>
    </row>
    <row r="32" spans="1:6" s="49" customFormat="1">
      <c r="A32">
        <v>710132</v>
      </c>
      <c r="B32" t="s">
        <v>1748</v>
      </c>
      <c r="C32">
        <v>710900</v>
      </c>
      <c r="D32" t="s">
        <v>1569</v>
      </c>
      <c r="E32"/>
      <c r="F32"/>
    </row>
    <row r="33" spans="1:6" s="49" customFormat="1">
      <c r="A33">
        <v>710133</v>
      </c>
      <c r="B33" t="s">
        <v>1570</v>
      </c>
      <c r="C33">
        <v>710300</v>
      </c>
      <c r="D33" t="s">
        <v>1826</v>
      </c>
      <c r="E33"/>
      <c r="F33"/>
    </row>
    <row r="34" spans="1:6" s="49" customFormat="1">
      <c r="A34">
        <v>710135</v>
      </c>
      <c r="B34" t="s">
        <v>1749</v>
      </c>
      <c r="C34">
        <v>710300</v>
      </c>
      <c r="D34" t="s">
        <v>1826</v>
      </c>
      <c r="E34"/>
      <c r="F34"/>
    </row>
    <row r="35" spans="1:6" s="49" customFormat="1">
      <c r="A35">
        <v>710136</v>
      </c>
      <c r="B35" t="s">
        <v>74</v>
      </c>
      <c r="C35">
        <v>710900</v>
      </c>
      <c r="D35" t="s">
        <v>1569</v>
      </c>
      <c r="E35"/>
      <c r="F35"/>
    </row>
    <row r="36" spans="1:6" s="49" customFormat="1">
      <c r="A36">
        <v>710137</v>
      </c>
      <c r="B36" t="s">
        <v>75</v>
      </c>
      <c r="C36">
        <v>710900</v>
      </c>
      <c r="D36" t="s">
        <v>1569</v>
      </c>
      <c r="E36"/>
      <c r="F36"/>
    </row>
    <row r="37" spans="1:6" s="49" customFormat="1">
      <c r="A37">
        <v>710138</v>
      </c>
      <c r="B37" t="s">
        <v>76</v>
      </c>
      <c r="C37">
        <v>710900</v>
      </c>
      <c r="D37" t="s">
        <v>1569</v>
      </c>
      <c r="E37"/>
      <c r="F37"/>
    </row>
    <row r="38" spans="1:6" s="49" customFormat="1">
      <c r="A38">
        <v>710139</v>
      </c>
      <c r="B38" t="s">
        <v>1750</v>
      </c>
      <c r="C38">
        <v>710300</v>
      </c>
      <c r="D38" t="s">
        <v>1826</v>
      </c>
      <c r="E38"/>
      <c r="F38"/>
    </row>
    <row r="39" spans="1:6" s="49" customFormat="1">
      <c r="A39">
        <v>710141</v>
      </c>
      <c r="B39" t="s">
        <v>37</v>
      </c>
      <c r="C39">
        <v>710900</v>
      </c>
      <c r="D39" t="s">
        <v>1569</v>
      </c>
      <c r="E39"/>
      <c r="F39"/>
    </row>
    <row r="40" spans="1:6" s="49" customFormat="1">
      <c r="A40">
        <v>710142</v>
      </c>
      <c r="B40" t="s">
        <v>38</v>
      </c>
      <c r="C40">
        <v>710900</v>
      </c>
      <c r="D40" t="s">
        <v>1569</v>
      </c>
      <c r="E40"/>
      <c r="F40"/>
    </row>
    <row r="41" spans="1:6" s="49" customFormat="1">
      <c r="A41">
        <v>710152</v>
      </c>
      <c r="B41" t="s">
        <v>39</v>
      </c>
      <c r="C41">
        <v>710900</v>
      </c>
      <c r="D41" t="s">
        <v>1569</v>
      </c>
      <c r="E41"/>
      <c r="F41"/>
    </row>
    <row r="42" spans="1:6" s="49" customFormat="1">
      <c r="A42">
        <v>710153</v>
      </c>
      <c r="B42" t="s">
        <v>40</v>
      </c>
      <c r="C42">
        <v>710900</v>
      </c>
      <c r="D42" t="s">
        <v>1569</v>
      </c>
      <c r="E42"/>
      <c r="F42"/>
    </row>
    <row r="43" spans="1:6" s="49" customFormat="1">
      <c r="A43">
        <v>710154</v>
      </c>
      <c r="B43" t="s">
        <v>41</v>
      </c>
      <c r="C43">
        <v>710900</v>
      </c>
      <c r="D43" t="s">
        <v>1569</v>
      </c>
      <c r="E43"/>
      <c r="F43"/>
    </row>
    <row r="44" spans="1:6" s="49" customFormat="1">
      <c r="A44">
        <v>710161</v>
      </c>
      <c r="B44" t="s">
        <v>59</v>
      </c>
      <c r="C44">
        <v>710900</v>
      </c>
      <c r="D44" t="s">
        <v>1569</v>
      </c>
      <c r="E44"/>
      <c r="F44"/>
    </row>
    <row r="45" spans="1:6" s="49" customFormat="1">
      <c r="A45">
        <v>710172</v>
      </c>
      <c r="B45" t="s">
        <v>42</v>
      </c>
      <c r="C45">
        <v>710900</v>
      </c>
      <c r="D45" t="s">
        <v>1569</v>
      </c>
      <c r="E45"/>
      <c r="F45"/>
    </row>
    <row r="46" spans="1:6" s="49" customFormat="1">
      <c r="A46">
        <v>710182</v>
      </c>
      <c r="B46" t="s">
        <v>1472</v>
      </c>
      <c r="C46">
        <v>710900</v>
      </c>
      <c r="D46" t="s">
        <v>1569</v>
      </c>
      <c r="E46"/>
      <c r="F46"/>
    </row>
    <row r="47" spans="1:6" s="49" customFormat="1">
      <c r="A47">
        <v>710191</v>
      </c>
      <c r="B47" t="s">
        <v>1571</v>
      </c>
      <c r="C47">
        <v>710900</v>
      </c>
      <c r="D47" t="s">
        <v>1569</v>
      </c>
      <c r="E47"/>
      <c r="F47"/>
    </row>
    <row r="48" spans="1:6" s="49" customFormat="1">
      <c r="A48">
        <v>710241</v>
      </c>
      <c r="B48" t="s">
        <v>1473</v>
      </c>
      <c r="C48">
        <v>710299</v>
      </c>
      <c r="D48" t="s">
        <v>1572</v>
      </c>
      <c r="E48"/>
      <c r="F48"/>
    </row>
    <row r="49" spans="1:6" s="49" customFormat="1">
      <c r="A49">
        <v>710242</v>
      </c>
      <c r="B49" t="s">
        <v>1474</v>
      </c>
      <c r="C49">
        <v>710299</v>
      </c>
      <c r="D49" t="s">
        <v>1572</v>
      </c>
      <c r="E49"/>
      <c r="F49"/>
    </row>
    <row r="50" spans="1:6" s="49" customFormat="1">
      <c r="A50">
        <v>710252</v>
      </c>
      <c r="B50" t="s">
        <v>1479</v>
      </c>
      <c r="C50">
        <v>710299</v>
      </c>
      <c r="D50" t="s">
        <v>1572</v>
      </c>
      <c r="E50"/>
      <c r="F50"/>
    </row>
    <row r="51" spans="1:6" s="49" customFormat="1">
      <c r="A51">
        <v>710253</v>
      </c>
      <c r="B51" t="s">
        <v>1475</v>
      </c>
      <c r="C51">
        <v>710299</v>
      </c>
      <c r="D51" t="s">
        <v>1572</v>
      </c>
      <c r="E51"/>
      <c r="F51"/>
    </row>
    <row r="52" spans="1:6" s="49" customFormat="1">
      <c r="A52">
        <v>710254</v>
      </c>
      <c r="B52" t="s">
        <v>1573</v>
      </c>
      <c r="C52">
        <v>710299</v>
      </c>
      <c r="D52" t="s">
        <v>1572</v>
      </c>
      <c r="E52"/>
      <c r="F52"/>
    </row>
    <row r="53" spans="1:6" s="49" customFormat="1">
      <c r="A53">
        <v>710261</v>
      </c>
      <c r="B53" t="s">
        <v>1495</v>
      </c>
      <c r="C53">
        <v>710299</v>
      </c>
      <c r="D53" t="s">
        <v>1572</v>
      </c>
      <c r="E53"/>
      <c r="F53"/>
    </row>
    <row r="54" spans="1:6" s="49" customFormat="1">
      <c r="A54">
        <v>710272</v>
      </c>
      <c r="B54" t="s">
        <v>1496</v>
      </c>
      <c r="C54">
        <v>710299</v>
      </c>
      <c r="D54" t="s">
        <v>1572</v>
      </c>
      <c r="E54"/>
      <c r="F54"/>
    </row>
    <row r="55" spans="1:6" s="49" customFormat="1">
      <c r="A55">
        <v>710282</v>
      </c>
      <c r="B55" t="s">
        <v>1497</v>
      </c>
      <c r="C55">
        <v>710299</v>
      </c>
      <c r="D55" t="s">
        <v>1572</v>
      </c>
      <c r="E55"/>
      <c r="F55"/>
    </row>
    <row r="56" spans="1:6" s="49" customFormat="1">
      <c r="A56">
        <v>710291</v>
      </c>
      <c r="B56" t="s">
        <v>1574</v>
      </c>
      <c r="C56">
        <v>710299</v>
      </c>
      <c r="D56" t="s">
        <v>1572</v>
      </c>
      <c r="E56"/>
      <c r="F56"/>
    </row>
    <row r="57" spans="1:6" s="49" customFormat="1">
      <c r="A57">
        <v>710341</v>
      </c>
      <c r="B57" t="s">
        <v>1480</v>
      </c>
      <c r="C57">
        <v>710399</v>
      </c>
      <c r="D57" t="s">
        <v>1827</v>
      </c>
      <c r="E57"/>
      <c r="F57"/>
    </row>
    <row r="58" spans="1:6" s="49" customFormat="1">
      <c r="A58">
        <v>710342</v>
      </c>
      <c r="B58" t="s">
        <v>1481</v>
      </c>
      <c r="C58">
        <v>710399</v>
      </c>
      <c r="D58" t="s">
        <v>1827</v>
      </c>
      <c r="E58"/>
      <c r="F58"/>
    </row>
    <row r="59" spans="1:6" s="49" customFormat="1">
      <c r="A59">
        <v>710352</v>
      </c>
      <c r="B59" t="s">
        <v>1482</v>
      </c>
      <c r="C59">
        <v>710399</v>
      </c>
      <c r="D59" t="s">
        <v>1827</v>
      </c>
      <c r="E59"/>
      <c r="F59"/>
    </row>
    <row r="60" spans="1:6" s="49" customFormat="1">
      <c r="A60">
        <v>710353</v>
      </c>
      <c r="B60" t="s">
        <v>1483</v>
      </c>
      <c r="C60">
        <v>710399</v>
      </c>
      <c r="D60" t="s">
        <v>1827</v>
      </c>
      <c r="E60"/>
      <c r="F60"/>
    </row>
    <row r="61" spans="1:6" s="49" customFormat="1">
      <c r="A61">
        <v>710354</v>
      </c>
      <c r="B61" t="s">
        <v>1493</v>
      </c>
      <c r="C61">
        <v>710399</v>
      </c>
      <c r="D61" t="s">
        <v>1827</v>
      </c>
      <c r="E61"/>
      <c r="F61"/>
    </row>
    <row r="62" spans="1:6" s="49" customFormat="1">
      <c r="A62">
        <v>710355</v>
      </c>
      <c r="B62" t="s">
        <v>1575</v>
      </c>
      <c r="C62">
        <v>710399</v>
      </c>
      <c r="D62" t="s">
        <v>1827</v>
      </c>
      <c r="E62"/>
      <c r="F62"/>
    </row>
    <row r="63" spans="1:6" s="49" customFormat="1">
      <c r="A63">
        <v>710361</v>
      </c>
      <c r="B63" t="s">
        <v>1484</v>
      </c>
      <c r="C63">
        <v>710399</v>
      </c>
      <c r="D63" t="s">
        <v>1827</v>
      </c>
      <c r="E63"/>
      <c r="F63"/>
    </row>
    <row r="64" spans="1:6" s="49" customFormat="1">
      <c r="A64">
        <v>710372</v>
      </c>
      <c r="B64" t="s">
        <v>1485</v>
      </c>
      <c r="C64">
        <v>710399</v>
      </c>
      <c r="D64" t="s">
        <v>1827</v>
      </c>
      <c r="E64"/>
      <c r="F64"/>
    </row>
    <row r="65" spans="1:6" s="49" customFormat="1">
      <c r="A65">
        <v>710382</v>
      </c>
      <c r="B65" t="s">
        <v>1486</v>
      </c>
      <c r="C65">
        <v>710399</v>
      </c>
      <c r="D65" t="s">
        <v>1827</v>
      </c>
      <c r="E65"/>
      <c r="F65"/>
    </row>
    <row r="66" spans="1:6" s="49" customFormat="1">
      <c r="A66">
        <v>710391</v>
      </c>
      <c r="B66" t="s">
        <v>1576</v>
      </c>
      <c r="C66">
        <v>710399</v>
      </c>
      <c r="D66" t="s">
        <v>1827</v>
      </c>
      <c r="E66"/>
      <c r="F66"/>
    </row>
    <row r="67" spans="1:6" s="49" customFormat="1">
      <c r="A67">
        <v>710441</v>
      </c>
      <c r="B67" t="s">
        <v>1476</v>
      </c>
      <c r="C67">
        <v>710399</v>
      </c>
      <c r="D67" t="s">
        <v>1827</v>
      </c>
      <c r="E67"/>
      <c r="F67"/>
    </row>
    <row r="68" spans="1:6" s="49" customFormat="1">
      <c r="A68">
        <v>710442</v>
      </c>
      <c r="B68" t="s">
        <v>1477</v>
      </c>
      <c r="C68">
        <v>710399</v>
      </c>
      <c r="D68" t="s">
        <v>1827</v>
      </c>
      <c r="E68"/>
      <c r="F68"/>
    </row>
    <row r="69" spans="1:6" s="49" customFormat="1">
      <c r="A69">
        <v>710451</v>
      </c>
      <c r="B69" t="s">
        <v>1577</v>
      </c>
      <c r="C69">
        <v>710399</v>
      </c>
      <c r="D69" t="s">
        <v>1827</v>
      </c>
      <c r="E69"/>
      <c r="F69"/>
    </row>
    <row r="70" spans="1:6" s="49" customFormat="1">
      <c r="A70">
        <v>710452</v>
      </c>
      <c r="B70" t="s">
        <v>1487</v>
      </c>
      <c r="C70">
        <v>710399</v>
      </c>
      <c r="D70" t="s">
        <v>1827</v>
      </c>
      <c r="E70"/>
      <c r="F70"/>
    </row>
    <row r="71" spans="1:6" s="49" customFormat="1">
      <c r="A71">
        <v>710453</v>
      </c>
      <c r="B71" t="s">
        <v>1578</v>
      </c>
      <c r="C71">
        <v>710399</v>
      </c>
      <c r="D71" t="s">
        <v>1827</v>
      </c>
      <c r="E71"/>
      <c r="F71"/>
    </row>
    <row r="72" spans="1:6" s="49" customFormat="1">
      <c r="A72">
        <v>710454</v>
      </c>
      <c r="B72" t="s">
        <v>1478</v>
      </c>
      <c r="C72">
        <v>710399</v>
      </c>
      <c r="D72" t="s">
        <v>1827</v>
      </c>
      <c r="E72"/>
      <c r="F72"/>
    </row>
    <row r="73" spans="1:6" s="49" customFormat="1">
      <c r="A73">
        <v>710455</v>
      </c>
      <c r="B73" t="s">
        <v>1579</v>
      </c>
      <c r="C73">
        <v>710399</v>
      </c>
      <c r="D73" t="s">
        <v>1827</v>
      </c>
      <c r="E73"/>
      <c r="F73"/>
    </row>
    <row r="74" spans="1:6" s="49" customFormat="1">
      <c r="A74">
        <v>710461</v>
      </c>
      <c r="B74" t="s">
        <v>1488</v>
      </c>
      <c r="C74">
        <v>710399</v>
      </c>
      <c r="D74" t="s">
        <v>1827</v>
      </c>
      <c r="E74"/>
      <c r="F74"/>
    </row>
    <row r="75" spans="1:6" s="49" customFormat="1">
      <c r="A75">
        <v>710472</v>
      </c>
      <c r="B75" t="s">
        <v>1489</v>
      </c>
      <c r="C75">
        <v>710399</v>
      </c>
      <c r="D75" t="s">
        <v>1827</v>
      </c>
      <c r="E75"/>
      <c r="F75"/>
    </row>
    <row r="76" spans="1:6" s="49" customFormat="1">
      <c r="A76">
        <v>710482</v>
      </c>
      <c r="B76" t="s">
        <v>1490</v>
      </c>
      <c r="C76">
        <v>710399</v>
      </c>
      <c r="D76" t="s">
        <v>1827</v>
      </c>
      <c r="E76"/>
      <c r="F76"/>
    </row>
    <row r="77" spans="1:6" s="49" customFormat="1">
      <c r="A77">
        <v>710491</v>
      </c>
      <c r="B77" t="s">
        <v>1580</v>
      </c>
      <c r="C77">
        <v>710399</v>
      </c>
      <c r="D77" t="s">
        <v>1827</v>
      </c>
      <c r="E77"/>
      <c r="F77"/>
    </row>
    <row r="78" spans="1:6" s="49" customFormat="1">
      <c r="A78">
        <v>710511</v>
      </c>
      <c r="B78" t="s">
        <v>1751</v>
      </c>
      <c r="C78">
        <v>710299</v>
      </c>
      <c r="D78" t="s">
        <v>1572</v>
      </c>
      <c r="E78"/>
      <c r="F78"/>
    </row>
    <row r="79" spans="1:6" s="49" customFormat="1">
      <c r="A79">
        <v>710512</v>
      </c>
      <c r="B79" t="s">
        <v>1752</v>
      </c>
      <c r="C79">
        <v>710299</v>
      </c>
      <c r="D79" t="s">
        <v>1572</v>
      </c>
      <c r="E79"/>
      <c r="F79"/>
    </row>
    <row r="80" spans="1:6" s="49" customFormat="1">
      <c r="A80">
        <v>710513</v>
      </c>
      <c r="B80" t="s">
        <v>1753</v>
      </c>
      <c r="C80">
        <v>710299</v>
      </c>
      <c r="D80" t="s">
        <v>1572</v>
      </c>
      <c r="E80"/>
      <c r="F80"/>
    </row>
    <row r="81" spans="1:6" s="49" customFormat="1">
      <c r="A81">
        <v>710518</v>
      </c>
      <c r="B81" t="s">
        <v>1754</v>
      </c>
      <c r="C81">
        <v>710299</v>
      </c>
      <c r="D81" t="s">
        <v>1572</v>
      </c>
      <c r="E81"/>
      <c r="F81"/>
    </row>
    <row r="82" spans="1:6" s="49" customFormat="1">
      <c r="A82">
        <v>710519</v>
      </c>
      <c r="B82" t="s">
        <v>1755</v>
      </c>
      <c r="C82">
        <v>710299</v>
      </c>
      <c r="D82" t="s">
        <v>1572</v>
      </c>
      <c r="E82"/>
      <c r="F82"/>
    </row>
    <row r="83" spans="1:6" s="49" customFormat="1">
      <c r="A83">
        <v>710521</v>
      </c>
      <c r="B83" t="s">
        <v>1756</v>
      </c>
      <c r="C83">
        <v>710399</v>
      </c>
      <c r="D83" t="s">
        <v>1827</v>
      </c>
      <c r="E83"/>
      <c r="F83"/>
    </row>
    <row r="84" spans="1:6" s="49" customFormat="1">
      <c r="A84">
        <v>710522</v>
      </c>
      <c r="B84" t="s">
        <v>1757</v>
      </c>
      <c r="C84">
        <v>710399</v>
      </c>
      <c r="D84" t="s">
        <v>1827</v>
      </c>
      <c r="E84"/>
      <c r="F84"/>
    </row>
    <row r="85" spans="1:6" s="49" customFormat="1">
      <c r="A85">
        <v>710523</v>
      </c>
      <c r="B85" t="s">
        <v>1758</v>
      </c>
      <c r="C85">
        <v>710399</v>
      </c>
      <c r="D85" t="s">
        <v>1827</v>
      </c>
      <c r="E85"/>
      <c r="F85"/>
    </row>
    <row r="86" spans="1:6" s="49" customFormat="1">
      <c r="A86">
        <v>710524</v>
      </c>
      <c r="B86" t="s">
        <v>1759</v>
      </c>
      <c r="C86">
        <v>710399</v>
      </c>
      <c r="D86" t="s">
        <v>1827</v>
      </c>
      <c r="E86"/>
      <c r="F86"/>
    </row>
    <row r="87" spans="1:6" s="49" customFormat="1">
      <c r="A87">
        <v>710528</v>
      </c>
      <c r="B87" t="s">
        <v>1760</v>
      </c>
      <c r="C87">
        <v>710399</v>
      </c>
      <c r="D87" t="s">
        <v>1827</v>
      </c>
      <c r="E87"/>
      <c r="F87"/>
    </row>
    <row r="88" spans="1:6" s="49" customFormat="1">
      <c r="A88">
        <v>710529</v>
      </c>
      <c r="B88" t="s">
        <v>1761</v>
      </c>
      <c r="C88">
        <v>710399</v>
      </c>
      <c r="D88" t="s">
        <v>1827</v>
      </c>
      <c r="E88"/>
      <c r="F88"/>
    </row>
    <row r="89" spans="1:6" s="49" customFormat="1">
      <c r="A89">
        <v>710911</v>
      </c>
      <c r="B89" t="s">
        <v>1582</v>
      </c>
      <c r="C89">
        <v>710200</v>
      </c>
      <c r="D89" t="s">
        <v>1567</v>
      </c>
      <c r="E89"/>
      <c r="F89"/>
    </row>
    <row r="90" spans="1:6" s="49" customFormat="1">
      <c r="A90">
        <v>710912</v>
      </c>
      <c r="B90" t="s">
        <v>1583</v>
      </c>
      <c r="C90">
        <v>710299</v>
      </c>
      <c r="D90" t="s">
        <v>1572</v>
      </c>
      <c r="E90"/>
      <c r="F90"/>
    </row>
    <row r="91" spans="1:6" s="49" customFormat="1">
      <c r="A91">
        <v>710999</v>
      </c>
      <c r="B91" t="s">
        <v>79</v>
      </c>
      <c r="C91">
        <v>710900</v>
      </c>
      <c r="D91" t="s">
        <v>1569</v>
      </c>
      <c r="E91"/>
      <c r="F91"/>
    </row>
    <row r="92" spans="1:6" s="49" customFormat="1">
      <c r="A92">
        <v>711180</v>
      </c>
      <c r="B92" t="s">
        <v>1584</v>
      </c>
      <c r="C92">
        <v>710900</v>
      </c>
      <c r="D92" t="s">
        <v>1569</v>
      </c>
      <c r="E92"/>
      <c r="F92"/>
    </row>
    <row r="93" spans="1:6" s="49" customFormat="1">
      <c r="A93">
        <v>711190</v>
      </c>
      <c r="B93" t="s">
        <v>1762</v>
      </c>
      <c r="C93">
        <v>710900</v>
      </c>
      <c r="D93" t="s">
        <v>1569</v>
      </c>
      <c r="E93"/>
      <c r="F93"/>
    </row>
    <row r="94" spans="1:6" s="49" customFormat="1">
      <c r="A94">
        <v>720101</v>
      </c>
      <c r="B94" t="s">
        <v>1763</v>
      </c>
      <c r="C94">
        <v>720000</v>
      </c>
      <c r="D94" t="s">
        <v>1388</v>
      </c>
      <c r="E94">
        <v>720001</v>
      </c>
      <c r="F94" t="s">
        <v>1585</v>
      </c>
    </row>
    <row r="95" spans="1:6" s="49" customFormat="1">
      <c r="A95">
        <v>720102</v>
      </c>
      <c r="B95" t="s">
        <v>1764</v>
      </c>
      <c r="C95">
        <v>720000</v>
      </c>
      <c r="D95" t="s">
        <v>1388</v>
      </c>
      <c r="E95">
        <v>720002</v>
      </c>
      <c r="F95" t="s">
        <v>1586</v>
      </c>
    </row>
    <row r="96" spans="1:6" s="49" customFormat="1">
      <c r="A96">
        <v>720103</v>
      </c>
      <c r="B96" t="s">
        <v>1765</v>
      </c>
      <c r="C96">
        <v>720000</v>
      </c>
      <c r="D96" t="s">
        <v>1388</v>
      </c>
      <c r="E96">
        <v>720005</v>
      </c>
      <c r="F96" t="s">
        <v>1590</v>
      </c>
    </row>
    <row r="97" spans="1:6" s="49" customFormat="1">
      <c r="A97">
        <v>720104</v>
      </c>
      <c r="B97" t="s">
        <v>1766</v>
      </c>
      <c r="C97">
        <v>720000</v>
      </c>
      <c r="D97" t="s">
        <v>1388</v>
      </c>
      <c r="E97">
        <v>720007</v>
      </c>
      <c r="F97" t="s">
        <v>1589</v>
      </c>
    </row>
    <row r="98" spans="1:6" s="49" customFormat="1">
      <c r="A98">
        <v>720108</v>
      </c>
      <c r="B98" t="s">
        <v>1767</v>
      </c>
      <c r="C98">
        <v>720000</v>
      </c>
      <c r="D98" t="s">
        <v>1388</v>
      </c>
      <c r="E98">
        <v>720008</v>
      </c>
      <c r="F98" t="s">
        <v>1828</v>
      </c>
    </row>
    <row r="99" spans="1:6" s="49" customFormat="1">
      <c r="A99">
        <v>720109</v>
      </c>
      <c r="B99" t="s">
        <v>1768</v>
      </c>
      <c r="C99">
        <v>720000</v>
      </c>
      <c r="D99" t="s">
        <v>1388</v>
      </c>
      <c r="E99">
        <v>720009</v>
      </c>
      <c r="F99" t="s">
        <v>1829</v>
      </c>
    </row>
    <row r="100" spans="1:6" s="49" customFormat="1">
      <c r="A100">
        <v>720111</v>
      </c>
      <c r="B100" t="s">
        <v>81</v>
      </c>
      <c r="C100">
        <v>720000</v>
      </c>
      <c r="D100" t="s">
        <v>1388</v>
      </c>
      <c r="E100">
        <v>720001</v>
      </c>
      <c r="F100" t="s">
        <v>1585</v>
      </c>
    </row>
    <row r="101" spans="1:6" s="49" customFormat="1">
      <c r="A101">
        <v>720112</v>
      </c>
      <c r="B101" t="s">
        <v>82</v>
      </c>
      <c r="C101">
        <v>720000</v>
      </c>
      <c r="D101" t="s">
        <v>1388</v>
      </c>
      <c r="E101">
        <v>720002</v>
      </c>
      <c r="F101" t="s">
        <v>1586</v>
      </c>
    </row>
    <row r="102" spans="1:6" s="49" customFormat="1">
      <c r="A102">
        <v>720113</v>
      </c>
      <c r="B102" t="s">
        <v>83</v>
      </c>
      <c r="C102">
        <v>720000</v>
      </c>
      <c r="D102" t="s">
        <v>1388</v>
      </c>
      <c r="E102">
        <v>720003</v>
      </c>
      <c r="F102" t="s">
        <v>1587</v>
      </c>
    </row>
    <row r="103" spans="1:6" s="49" customFormat="1">
      <c r="A103">
        <v>720115</v>
      </c>
      <c r="B103" t="s">
        <v>84</v>
      </c>
      <c r="C103">
        <v>720000</v>
      </c>
      <c r="D103" t="s">
        <v>1388</v>
      </c>
      <c r="E103">
        <v>720003</v>
      </c>
      <c r="F103" t="s">
        <v>1587</v>
      </c>
    </row>
    <row r="104" spans="1:6" s="49" customFormat="1">
      <c r="A104">
        <v>720121</v>
      </c>
      <c r="B104" t="s">
        <v>85</v>
      </c>
      <c r="C104">
        <v>720000</v>
      </c>
      <c r="D104" t="s">
        <v>1388</v>
      </c>
      <c r="E104">
        <v>720004</v>
      </c>
      <c r="F104" t="s">
        <v>1588</v>
      </c>
    </row>
    <row r="105" spans="1:6" s="49" customFormat="1">
      <c r="A105">
        <v>720122</v>
      </c>
      <c r="B105" t="s">
        <v>86</v>
      </c>
      <c r="C105">
        <v>720000</v>
      </c>
      <c r="D105" t="s">
        <v>1388</v>
      </c>
      <c r="E105">
        <v>720007</v>
      </c>
      <c r="F105" t="s">
        <v>1589</v>
      </c>
    </row>
    <row r="106" spans="1:6" s="49" customFormat="1">
      <c r="A106">
        <v>720123</v>
      </c>
      <c r="B106" t="s">
        <v>87</v>
      </c>
      <c r="C106">
        <v>720000</v>
      </c>
      <c r="D106" t="s">
        <v>1388</v>
      </c>
      <c r="E106">
        <v>720005</v>
      </c>
      <c r="F106" t="s">
        <v>1590</v>
      </c>
    </row>
    <row r="107" spans="1:6" s="49" customFormat="1">
      <c r="A107">
        <v>720125</v>
      </c>
      <c r="B107" t="s">
        <v>89</v>
      </c>
      <c r="C107">
        <v>720000</v>
      </c>
      <c r="D107" t="s">
        <v>1388</v>
      </c>
      <c r="E107">
        <v>720007</v>
      </c>
      <c r="F107" t="s">
        <v>1589</v>
      </c>
    </row>
    <row r="108" spans="1:6" s="49" customFormat="1">
      <c r="A108">
        <v>720141</v>
      </c>
      <c r="B108" t="s">
        <v>91</v>
      </c>
      <c r="C108">
        <v>720000</v>
      </c>
      <c r="D108" t="s">
        <v>1388</v>
      </c>
      <c r="E108">
        <v>720006</v>
      </c>
      <c r="F108" t="s">
        <v>1591</v>
      </c>
    </row>
    <row r="109" spans="1:6" s="49" customFormat="1">
      <c r="A109">
        <v>720142</v>
      </c>
      <c r="B109" t="s">
        <v>92</v>
      </c>
      <c r="C109">
        <v>720000</v>
      </c>
      <c r="D109" t="s">
        <v>1388</v>
      </c>
      <c r="E109">
        <v>720006</v>
      </c>
      <c r="F109" t="s">
        <v>1591</v>
      </c>
    </row>
    <row r="110" spans="1:6" s="49" customFormat="1">
      <c r="A110">
        <v>720150</v>
      </c>
      <c r="B110" t="s">
        <v>1272</v>
      </c>
      <c r="C110">
        <v>720000</v>
      </c>
      <c r="D110" t="s">
        <v>1388</v>
      </c>
      <c r="E110">
        <v>720006</v>
      </c>
      <c r="F110" t="s">
        <v>1591</v>
      </c>
    </row>
    <row r="111" spans="1:6" s="49" customFormat="1">
      <c r="A111">
        <v>720161</v>
      </c>
      <c r="B111" t="s">
        <v>1235</v>
      </c>
      <c r="C111">
        <v>720000</v>
      </c>
      <c r="D111" t="s">
        <v>1388</v>
      </c>
      <c r="E111">
        <v>720006</v>
      </c>
      <c r="F111" t="s">
        <v>1591</v>
      </c>
    </row>
    <row r="112" spans="1:6" s="49" customFormat="1">
      <c r="A112">
        <v>720172</v>
      </c>
      <c r="B112" t="s">
        <v>1236</v>
      </c>
      <c r="C112">
        <v>720000</v>
      </c>
      <c r="D112" t="s">
        <v>1388</v>
      </c>
      <c r="E112">
        <v>720006</v>
      </c>
      <c r="F112" t="s">
        <v>1591</v>
      </c>
    </row>
    <row r="113" spans="1:6" s="49" customFormat="1">
      <c r="A113">
        <v>720191</v>
      </c>
      <c r="B113" t="s">
        <v>93</v>
      </c>
      <c r="C113">
        <v>720000</v>
      </c>
      <c r="D113" t="s">
        <v>1388</v>
      </c>
      <c r="E113">
        <v>720006</v>
      </c>
      <c r="F113" t="s">
        <v>1591</v>
      </c>
    </row>
    <row r="114" spans="1:6" s="49" customFormat="1">
      <c r="A114">
        <v>720531</v>
      </c>
      <c r="B114" t="s">
        <v>1769</v>
      </c>
      <c r="C114">
        <v>720000</v>
      </c>
      <c r="D114" t="s">
        <v>1388</v>
      </c>
      <c r="E114">
        <v>720011</v>
      </c>
      <c r="F114" t="s">
        <v>1830</v>
      </c>
    </row>
    <row r="115" spans="1:6" s="49" customFormat="1">
      <c r="A115">
        <v>720532</v>
      </c>
      <c r="B115" t="s">
        <v>1770</v>
      </c>
      <c r="C115">
        <v>720000</v>
      </c>
      <c r="D115" t="s">
        <v>1388</v>
      </c>
      <c r="E115">
        <v>720012</v>
      </c>
      <c r="F115" t="s">
        <v>1831</v>
      </c>
    </row>
    <row r="116" spans="1:6" s="49" customFormat="1">
      <c r="A116">
        <v>720533</v>
      </c>
      <c r="B116" t="s">
        <v>1771</v>
      </c>
      <c r="C116">
        <v>720000</v>
      </c>
      <c r="D116" t="s">
        <v>1388</v>
      </c>
      <c r="E116">
        <v>720015</v>
      </c>
      <c r="F116" t="s">
        <v>1832</v>
      </c>
    </row>
    <row r="117" spans="1:6" s="49" customFormat="1">
      <c r="A117">
        <v>720534</v>
      </c>
      <c r="B117" t="s">
        <v>1772</v>
      </c>
      <c r="C117">
        <v>720000</v>
      </c>
      <c r="D117" t="s">
        <v>1388</v>
      </c>
      <c r="E117">
        <v>720017</v>
      </c>
      <c r="F117" t="s">
        <v>1833</v>
      </c>
    </row>
    <row r="118" spans="1:6" s="49" customFormat="1">
      <c r="A118">
        <v>720538</v>
      </c>
      <c r="B118" t="s">
        <v>1773</v>
      </c>
      <c r="C118">
        <v>720000</v>
      </c>
      <c r="D118" t="s">
        <v>1388</v>
      </c>
      <c r="E118">
        <v>720018</v>
      </c>
      <c r="F118" t="s">
        <v>1834</v>
      </c>
    </row>
    <row r="119" spans="1:6" s="49" customFormat="1">
      <c r="A119">
        <v>720539</v>
      </c>
      <c r="B119" t="s">
        <v>1774</v>
      </c>
      <c r="C119">
        <v>720000</v>
      </c>
      <c r="D119" t="s">
        <v>1388</v>
      </c>
      <c r="E119">
        <v>720019</v>
      </c>
      <c r="F119" t="s">
        <v>1835</v>
      </c>
    </row>
    <row r="120" spans="1:6" s="49" customFormat="1">
      <c r="A120">
        <v>720999</v>
      </c>
      <c r="B120" t="s">
        <v>94</v>
      </c>
      <c r="C120">
        <v>720000</v>
      </c>
      <c r="D120" t="s">
        <v>1388</v>
      </c>
      <c r="E120">
        <v>720007</v>
      </c>
      <c r="F120" t="s">
        <v>1589</v>
      </c>
    </row>
    <row r="121" spans="1:6" s="49" customFormat="1">
      <c r="A121">
        <v>730011</v>
      </c>
      <c r="B121" t="s">
        <v>97</v>
      </c>
      <c r="C121">
        <v>730010</v>
      </c>
      <c r="D121" t="s">
        <v>1592</v>
      </c>
      <c r="E121"/>
      <c r="F121"/>
    </row>
    <row r="122" spans="1:6" s="49" customFormat="1">
      <c r="A122">
        <v>730111</v>
      </c>
      <c r="B122" t="s">
        <v>99</v>
      </c>
      <c r="C122">
        <v>730100</v>
      </c>
      <c r="D122" t="s">
        <v>1593</v>
      </c>
      <c r="E122"/>
      <c r="F122"/>
    </row>
    <row r="123" spans="1:6" s="49" customFormat="1">
      <c r="A123">
        <v>730141</v>
      </c>
      <c r="B123" t="s">
        <v>100</v>
      </c>
      <c r="C123">
        <v>730100</v>
      </c>
      <c r="D123" t="s">
        <v>1593</v>
      </c>
      <c r="E123"/>
      <c r="F123"/>
    </row>
    <row r="124" spans="1:6" s="49" customFormat="1">
      <c r="A124">
        <v>730142</v>
      </c>
      <c r="B124" t="s">
        <v>101</v>
      </c>
      <c r="C124">
        <v>730100</v>
      </c>
      <c r="D124" t="s">
        <v>1593</v>
      </c>
      <c r="E124"/>
      <c r="F124"/>
    </row>
    <row r="125" spans="1:6" s="49" customFormat="1">
      <c r="A125">
        <v>730152</v>
      </c>
      <c r="B125" t="s">
        <v>102</v>
      </c>
      <c r="C125">
        <v>730100</v>
      </c>
      <c r="D125" t="s">
        <v>1593</v>
      </c>
      <c r="E125"/>
      <c r="F125"/>
    </row>
    <row r="126" spans="1:6" s="49" customFormat="1">
      <c r="A126">
        <v>730199</v>
      </c>
      <c r="B126" t="s">
        <v>103</v>
      </c>
      <c r="C126">
        <v>730100</v>
      </c>
      <c r="D126" t="s">
        <v>1593</v>
      </c>
      <c r="E126"/>
      <c r="F126"/>
    </row>
    <row r="127" spans="1:6" s="49" customFormat="1">
      <c r="A127">
        <v>730301</v>
      </c>
      <c r="B127" t="s">
        <v>105</v>
      </c>
      <c r="C127">
        <v>730300</v>
      </c>
      <c r="D127" t="s">
        <v>1594</v>
      </c>
      <c r="E127"/>
      <c r="F127"/>
    </row>
    <row r="128" spans="1:6" s="49" customFormat="1">
      <c r="A128">
        <v>730302</v>
      </c>
      <c r="B128" t="s">
        <v>106</v>
      </c>
      <c r="C128">
        <v>730300</v>
      </c>
      <c r="D128" t="s">
        <v>1594</v>
      </c>
      <c r="E128"/>
      <c r="F128"/>
    </row>
    <row r="129" spans="1:6" s="49" customFormat="1">
      <c r="A129">
        <v>730304</v>
      </c>
      <c r="B129" t="s">
        <v>108</v>
      </c>
      <c r="C129">
        <v>730300</v>
      </c>
      <c r="D129" t="s">
        <v>1594</v>
      </c>
      <c r="E129"/>
      <c r="F129"/>
    </row>
    <row r="130" spans="1:6" s="49" customFormat="1">
      <c r="A130">
        <v>730305</v>
      </c>
      <c r="B130" t="s">
        <v>109</v>
      </c>
      <c r="C130">
        <v>730300</v>
      </c>
      <c r="D130" t="s">
        <v>1594</v>
      </c>
      <c r="E130"/>
      <c r="F130"/>
    </row>
    <row r="131" spans="1:6" s="49" customFormat="1">
      <c r="A131">
        <v>730341</v>
      </c>
      <c r="B131" t="s">
        <v>1595</v>
      </c>
      <c r="C131">
        <v>730100</v>
      </c>
      <c r="D131" t="s">
        <v>1593</v>
      </c>
      <c r="E131"/>
      <c r="F131"/>
    </row>
    <row r="132" spans="1:6" s="49" customFormat="1">
      <c r="A132">
        <v>730342</v>
      </c>
      <c r="B132" t="s">
        <v>1596</v>
      </c>
      <c r="C132">
        <v>730100</v>
      </c>
      <c r="D132" t="s">
        <v>1593</v>
      </c>
      <c r="E132"/>
      <c r="F132"/>
    </row>
    <row r="133" spans="1:6" s="49" customFormat="1">
      <c r="A133">
        <v>730352</v>
      </c>
      <c r="B133" t="s">
        <v>1597</v>
      </c>
      <c r="C133">
        <v>730100</v>
      </c>
      <c r="D133" t="s">
        <v>1593</v>
      </c>
      <c r="E133"/>
      <c r="F133"/>
    </row>
    <row r="134" spans="1:6" s="49" customFormat="1">
      <c r="A134">
        <v>730353</v>
      </c>
      <c r="B134" t="s">
        <v>1598</v>
      </c>
      <c r="C134">
        <v>730100</v>
      </c>
      <c r="D134" t="s">
        <v>1593</v>
      </c>
      <c r="E134"/>
      <c r="F134"/>
    </row>
    <row r="135" spans="1:6" s="49" customFormat="1">
      <c r="A135">
        <v>730354</v>
      </c>
      <c r="B135" t="s">
        <v>1599</v>
      </c>
      <c r="C135">
        <v>730100</v>
      </c>
      <c r="D135" t="s">
        <v>1593</v>
      </c>
      <c r="E135"/>
      <c r="F135"/>
    </row>
    <row r="136" spans="1:6" s="49" customFormat="1">
      <c r="A136">
        <v>730441</v>
      </c>
      <c r="B136" t="s">
        <v>1600</v>
      </c>
      <c r="C136">
        <v>730100</v>
      </c>
      <c r="D136" t="s">
        <v>1593</v>
      </c>
      <c r="E136"/>
      <c r="F136"/>
    </row>
    <row r="137" spans="1:6" s="49" customFormat="1">
      <c r="A137">
        <v>730442</v>
      </c>
      <c r="B137" t="s">
        <v>1601</v>
      </c>
      <c r="C137">
        <v>730100</v>
      </c>
      <c r="D137" t="s">
        <v>1593</v>
      </c>
      <c r="E137"/>
      <c r="F137"/>
    </row>
    <row r="138" spans="1:6" s="49" customFormat="1">
      <c r="A138">
        <v>730452</v>
      </c>
      <c r="B138" t="s">
        <v>1602</v>
      </c>
      <c r="C138">
        <v>730100</v>
      </c>
      <c r="D138" t="s">
        <v>1593</v>
      </c>
      <c r="E138"/>
      <c r="F138"/>
    </row>
    <row r="139" spans="1:6" s="49" customFormat="1">
      <c r="A139">
        <v>730453</v>
      </c>
      <c r="B139" t="s">
        <v>1603</v>
      </c>
      <c r="C139">
        <v>730100</v>
      </c>
      <c r="D139" t="s">
        <v>1593</v>
      </c>
      <c r="E139"/>
      <c r="F139"/>
    </row>
    <row r="140" spans="1:6" s="49" customFormat="1">
      <c r="A140">
        <v>730454</v>
      </c>
      <c r="B140" t="s">
        <v>1604</v>
      </c>
      <c r="C140">
        <v>730100</v>
      </c>
      <c r="D140" t="s">
        <v>1593</v>
      </c>
      <c r="E140"/>
      <c r="F140"/>
    </row>
    <row r="141" spans="1:6" s="49" customFormat="1">
      <c r="A141">
        <v>730701</v>
      </c>
      <c r="B141" t="s">
        <v>773</v>
      </c>
      <c r="C141">
        <v>730700</v>
      </c>
      <c r="D141" t="s">
        <v>275</v>
      </c>
      <c r="E141"/>
      <c r="F141"/>
    </row>
    <row r="142" spans="1:6" s="49" customFormat="1">
      <c r="A142">
        <v>730702</v>
      </c>
      <c r="B142" t="s">
        <v>774</v>
      </c>
      <c r="C142">
        <v>730700</v>
      </c>
      <c r="D142" t="s">
        <v>275</v>
      </c>
      <c r="E142"/>
      <c r="F142"/>
    </row>
    <row r="143" spans="1:6" s="49" customFormat="1">
      <c r="A143">
        <v>730801</v>
      </c>
      <c r="B143" t="s">
        <v>115</v>
      </c>
      <c r="C143">
        <v>730800</v>
      </c>
      <c r="D143" t="s">
        <v>1605</v>
      </c>
      <c r="E143"/>
      <c r="F143"/>
    </row>
    <row r="144" spans="1:6" s="49" customFormat="1">
      <c r="A144">
        <v>730811</v>
      </c>
      <c r="B144" t="s">
        <v>117</v>
      </c>
      <c r="C144">
        <v>730810</v>
      </c>
      <c r="D144" t="s">
        <v>116</v>
      </c>
      <c r="E144"/>
      <c r="F144"/>
    </row>
    <row r="145" spans="1:6" s="49" customFormat="1">
      <c r="A145">
        <v>730832</v>
      </c>
      <c r="B145" t="s">
        <v>120</v>
      </c>
      <c r="C145">
        <v>730830</v>
      </c>
      <c r="D145" t="s">
        <v>1606</v>
      </c>
      <c r="E145"/>
      <c r="F145"/>
    </row>
    <row r="146" spans="1:6" s="49" customFormat="1">
      <c r="A146">
        <v>730861</v>
      </c>
      <c r="B146" t="s">
        <v>122</v>
      </c>
      <c r="C146">
        <v>730860</v>
      </c>
      <c r="D146" t="s">
        <v>1607</v>
      </c>
      <c r="E146"/>
      <c r="F146"/>
    </row>
    <row r="147" spans="1:6" s="49" customFormat="1">
      <c r="A147">
        <v>730881</v>
      </c>
      <c r="B147" t="s">
        <v>124</v>
      </c>
      <c r="C147">
        <v>730880</v>
      </c>
      <c r="D147" t="s">
        <v>1608</v>
      </c>
      <c r="E147"/>
      <c r="F147"/>
    </row>
    <row r="148" spans="1:6" s="49" customFormat="1">
      <c r="A148">
        <v>740206</v>
      </c>
      <c r="B148" t="s">
        <v>779</v>
      </c>
      <c r="C148">
        <v>740000</v>
      </c>
      <c r="D148" t="s">
        <v>1609</v>
      </c>
      <c r="E148">
        <v>740001</v>
      </c>
      <c r="F148" t="s">
        <v>1611</v>
      </c>
    </row>
    <row r="149" spans="1:6" s="49" customFormat="1">
      <c r="A149">
        <v>740211</v>
      </c>
      <c r="B149" t="s">
        <v>1612</v>
      </c>
      <c r="C149">
        <v>740000</v>
      </c>
      <c r="D149" t="s">
        <v>1609</v>
      </c>
      <c r="E149">
        <v>740001</v>
      </c>
      <c r="F149" t="s">
        <v>1611</v>
      </c>
    </row>
    <row r="150" spans="1:6" s="49" customFormat="1">
      <c r="A150">
        <v>740213</v>
      </c>
      <c r="B150" t="s">
        <v>781</v>
      </c>
      <c r="C150">
        <v>740000</v>
      </c>
      <c r="D150" t="s">
        <v>1609</v>
      </c>
      <c r="E150">
        <v>740001</v>
      </c>
      <c r="F150" t="s">
        <v>1611</v>
      </c>
    </row>
    <row r="151" spans="1:6" s="49" customFormat="1">
      <c r="A151">
        <v>740215</v>
      </c>
      <c r="B151" t="s">
        <v>782</v>
      </c>
      <c r="C151">
        <v>740000</v>
      </c>
      <c r="D151" t="s">
        <v>1609</v>
      </c>
      <c r="E151">
        <v>740002</v>
      </c>
      <c r="F151" t="s">
        <v>1613</v>
      </c>
    </row>
    <row r="152" spans="1:6" s="49" customFormat="1">
      <c r="A152">
        <v>740216</v>
      </c>
      <c r="B152" t="s">
        <v>783</v>
      </c>
      <c r="C152">
        <v>740000</v>
      </c>
      <c r="D152" t="s">
        <v>1609</v>
      </c>
      <c r="E152">
        <v>740002</v>
      </c>
      <c r="F152" t="s">
        <v>1613</v>
      </c>
    </row>
    <row r="153" spans="1:6" s="49" customFormat="1">
      <c r="A153">
        <v>740221</v>
      </c>
      <c r="B153" t="s">
        <v>1614</v>
      </c>
      <c r="C153">
        <v>740000</v>
      </c>
      <c r="D153" t="s">
        <v>1609</v>
      </c>
      <c r="E153">
        <v>740001</v>
      </c>
      <c r="F153" t="s">
        <v>1611</v>
      </c>
    </row>
    <row r="154" spans="1:6" s="49" customFormat="1">
      <c r="A154">
        <v>740222</v>
      </c>
      <c r="B154" t="s">
        <v>1507</v>
      </c>
      <c r="C154">
        <v>740000</v>
      </c>
      <c r="D154" t="s">
        <v>1609</v>
      </c>
      <c r="E154">
        <v>740001</v>
      </c>
      <c r="F154" t="s">
        <v>1611</v>
      </c>
    </row>
    <row r="155" spans="1:6" s="49" customFormat="1">
      <c r="A155">
        <v>740223</v>
      </c>
      <c r="B155" t="s">
        <v>1615</v>
      </c>
      <c r="C155">
        <v>740000</v>
      </c>
      <c r="D155" t="s">
        <v>1609</v>
      </c>
      <c r="E155">
        <v>740001</v>
      </c>
      <c r="F155" t="s">
        <v>1611</v>
      </c>
    </row>
    <row r="156" spans="1:6" s="49" customFormat="1">
      <c r="A156">
        <v>740224</v>
      </c>
      <c r="B156" t="s">
        <v>787</v>
      </c>
      <c r="C156">
        <v>740000</v>
      </c>
      <c r="D156" t="s">
        <v>1609</v>
      </c>
      <c r="E156">
        <v>740001</v>
      </c>
      <c r="F156" t="s">
        <v>1611</v>
      </c>
    </row>
    <row r="157" spans="1:6" s="49" customFormat="1">
      <c r="A157">
        <v>740225</v>
      </c>
      <c r="B157" t="s">
        <v>788</v>
      </c>
      <c r="C157">
        <v>740000</v>
      </c>
      <c r="D157" t="s">
        <v>1609</v>
      </c>
      <c r="E157">
        <v>740001</v>
      </c>
      <c r="F157" t="s">
        <v>1611</v>
      </c>
    </row>
    <row r="158" spans="1:6" s="49" customFormat="1">
      <c r="A158">
        <v>740227</v>
      </c>
      <c r="B158" t="s">
        <v>1616</v>
      </c>
      <c r="C158">
        <v>740000</v>
      </c>
      <c r="D158" t="s">
        <v>1609</v>
      </c>
      <c r="E158">
        <v>740001</v>
      </c>
      <c r="F158" t="s">
        <v>1611</v>
      </c>
    </row>
    <row r="159" spans="1:6" s="49" customFormat="1">
      <c r="A159">
        <v>740228</v>
      </c>
      <c r="B159" t="s">
        <v>1775</v>
      </c>
      <c r="C159">
        <v>740000</v>
      </c>
      <c r="D159" t="s">
        <v>1609</v>
      </c>
      <c r="E159">
        <v>740001</v>
      </c>
      <c r="F159" t="s">
        <v>1611</v>
      </c>
    </row>
    <row r="160" spans="1:6" s="49" customFormat="1">
      <c r="A160">
        <v>740229</v>
      </c>
      <c r="B160" t="s">
        <v>1492</v>
      </c>
      <c r="C160">
        <v>740000</v>
      </c>
      <c r="D160" t="s">
        <v>1609</v>
      </c>
      <c r="E160">
        <v>740001</v>
      </c>
      <c r="F160" t="s">
        <v>1611</v>
      </c>
    </row>
    <row r="161" spans="1:6" s="49" customFormat="1">
      <c r="A161">
        <v>740231</v>
      </c>
      <c r="B161" t="s">
        <v>1617</v>
      </c>
      <c r="C161">
        <v>740000</v>
      </c>
      <c r="D161" t="s">
        <v>1609</v>
      </c>
      <c r="E161">
        <v>740001</v>
      </c>
      <c r="F161" t="s">
        <v>1611</v>
      </c>
    </row>
    <row r="162" spans="1:6" s="49" customFormat="1">
      <c r="A162">
        <v>740232</v>
      </c>
      <c r="B162" t="s">
        <v>1618</v>
      </c>
      <c r="C162">
        <v>740000</v>
      </c>
      <c r="D162" t="s">
        <v>1609</v>
      </c>
      <c r="E162">
        <v>740001</v>
      </c>
      <c r="F162" t="s">
        <v>1611</v>
      </c>
    </row>
    <row r="163" spans="1:6" s="49" customFormat="1">
      <c r="A163">
        <v>740233</v>
      </c>
      <c r="B163" t="s">
        <v>793</v>
      </c>
      <c r="C163">
        <v>740000</v>
      </c>
      <c r="D163" t="s">
        <v>1609</v>
      </c>
      <c r="E163">
        <v>740001</v>
      </c>
      <c r="F163" t="s">
        <v>1611</v>
      </c>
    </row>
    <row r="164" spans="1:6" s="49" customFormat="1">
      <c r="A164">
        <v>740234</v>
      </c>
      <c r="B164" t="s">
        <v>794</v>
      </c>
      <c r="C164">
        <v>740000</v>
      </c>
      <c r="D164" t="s">
        <v>1609</v>
      </c>
      <c r="E164">
        <v>740001</v>
      </c>
      <c r="F164" t="s">
        <v>1611</v>
      </c>
    </row>
    <row r="165" spans="1:6" s="49" customFormat="1">
      <c r="A165">
        <v>740236</v>
      </c>
      <c r="B165" t="s">
        <v>796</v>
      </c>
      <c r="C165">
        <v>740000</v>
      </c>
      <c r="D165" t="s">
        <v>1609</v>
      </c>
      <c r="E165">
        <v>740001</v>
      </c>
      <c r="F165" t="s">
        <v>1611</v>
      </c>
    </row>
    <row r="166" spans="1:6" s="49" customFormat="1">
      <c r="A166">
        <v>740237</v>
      </c>
      <c r="B166" t="s">
        <v>1619</v>
      </c>
      <c r="C166">
        <v>740000</v>
      </c>
      <c r="D166" t="s">
        <v>1609</v>
      </c>
      <c r="E166">
        <v>740017</v>
      </c>
      <c r="F166" t="s">
        <v>1610</v>
      </c>
    </row>
    <row r="167" spans="1:6" s="49" customFormat="1">
      <c r="A167">
        <v>740240</v>
      </c>
      <c r="B167" t="s">
        <v>1620</v>
      </c>
      <c r="C167">
        <v>740000</v>
      </c>
      <c r="D167" t="s">
        <v>1609</v>
      </c>
      <c r="E167">
        <v>740001</v>
      </c>
      <c r="F167" t="s">
        <v>1611</v>
      </c>
    </row>
    <row r="168" spans="1:6" s="49" customFormat="1">
      <c r="A168">
        <v>740241</v>
      </c>
      <c r="B168" t="s">
        <v>1776</v>
      </c>
      <c r="C168">
        <v>740000</v>
      </c>
      <c r="D168" t="s">
        <v>1609</v>
      </c>
      <c r="E168">
        <v>740001</v>
      </c>
      <c r="F168" t="s">
        <v>1611</v>
      </c>
    </row>
    <row r="169" spans="1:6" s="49" customFormat="1">
      <c r="A169">
        <v>740242</v>
      </c>
      <c r="B169" t="s">
        <v>801</v>
      </c>
      <c r="C169">
        <v>740000</v>
      </c>
      <c r="D169" t="s">
        <v>1609</v>
      </c>
      <c r="E169">
        <v>740001</v>
      </c>
      <c r="F169" t="s">
        <v>1611</v>
      </c>
    </row>
    <row r="170" spans="1:6" s="49" customFormat="1">
      <c r="A170">
        <v>740243</v>
      </c>
      <c r="B170" t="s">
        <v>802</v>
      </c>
      <c r="C170">
        <v>740000</v>
      </c>
      <c r="D170" t="s">
        <v>1609</v>
      </c>
      <c r="E170">
        <v>740001</v>
      </c>
      <c r="F170" t="s">
        <v>1611</v>
      </c>
    </row>
    <row r="171" spans="1:6" s="49" customFormat="1">
      <c r="A171">
        <v>740244</v>
      </c>
      <c r="B171" t="s">
        <v>803</v>
      </c>
      <c r="C171">
        <v>740000</v>
      </c>
      <c r="D171" t="s">
        <v>1609</v>
      </c>
      <c r="E171">
        <v>740001</v>
      </c>
      <c r="F171" t="s">
        <v>1611</v>
      </c>
    </row>
    <row r="172" spans="1:6" s="49" customFormat="1">
      <c r="A172">
        <v>740245</v>
      </c>
      <c r="B172" t="s">
        <v>1491</v>
      </c>
      <c r="C172">
        <v>740000</v>
      </c>
      <c r="D172" t="s">
        <v>1609</v>
      </c>
      <c r="E172">
        <v>740001</v>
      </c>
      <c r="F172" t="s">
        <v>1611</v>
      </c>
    </row>
    <row r="173" spans="1:6" s="49" customFormat="1">
      <c r="A173">
        <v>740247</v>
      </c>
      <c r="B173" t="s">
        <v>806</v>
      </c>
      <c r="C173">
        <v>740000</v>
      </c>
      <c r="D173" t="s">
        <v>1609</v>
      </c>
      <c r="E173">
        <v>740017</v>
      </c>
      <c r="F173" t="s">
        <v>1610</v>
      </c>
    </row>
    <row r="174" spans="1:6" s="49" customFormat="1">
      <c r="A174">
        <v>740248</v>
      </c>
      <c r="B174" t="s">
        <v>1494</v>
      </c>
      <c r="C174">
        <v>740000</v>
      </c>
      <c r="D174" t="s">
        <v>1609</v>
      </c>
      <c r="E174">
        <v>740001</v>
      </c>
      <c r="F174" t="s">
        <v>1611</v>
      </c>
    </row>
    <row r="175" spans="1:6" s="49" customFormat="1">
      <c r="A175">
        <v>740251</v>
      </c>
      <c r="B175" t="s">
        <v>808</v>
      </c>
      <c r="C175">
        <v>740000</v>
      </c>
      <c r="D175" t="s">
        <v>1609</v>
      </c>
      <c r="E175">
        <v>740001</v>
      </c>
      <c r="F175" t="s">
        <v>1611</v>
      </c>
    </row>
    <row r="176" spans="1:6" s="49" customFormat="1">
      <c r="A176">
        <v>740252</v>
      </c>
      <c r="B176" t="s">
        <v>1471</v>
      </c>
      <c r="C176">
        <v>740000</v>
      </c>
      <c r="D176" t="s">
        <v>1609</v>
      </c>
      <c r="E176">
        <v>740001</v>
      </c>
      <c r="F176" t="s">
        <v>1611</v>
      </c>
    </row>
    <row r="177" spans="1:6" s="49" customFormat="1">
      <c r="A177">
        <v>740258</v>
      </c>
      <c r="B177" t="s">
        <v>1621</v>
      </c>
      <c r="C177">
        <v>740000</v>
      </c>
      <c r="D177" t="s">
        <v>1609</v>
      </c>
      <c r="E177">
        <v>740001</v>
      </c>
      <c r="F177" t="s">
        <v>1611</v>
      </c>
    </row>
    <row r="178" spans="1:6" s="49" customFormat="1">
      <c r="A178">
        <v>740259</v>
      </c>
      <c r="B178" t="s">
        <v>1622</v>
      </c>
      <c r="C178">
        <v>740000</v>
      </c>
      <c r="D178" t="s">
        <v>1609</v>
      </c>
      <c r="E178">
        <v>740001</v>
      </c>
      <c r="F178" t="s">
        <v>1611</v>
      </c>
    </row>
    <row r="179" spans="1:6" s="49" customFormat="1">
      <c r="A179">
        <v>740261</v>
      </c>
      <c r="B179" t="s">
        <v>812</v>
      </c>
      <c r="C179">
        <v>740000</v>
      </c>
      <c r="D179" t="s">
        <v>1609</v>
      </c>
      <c r="E179">
        <v>740001</v>
      </c>
      <c r="F179" t="s">
        <v>1611</v>
      </c>
    </row>
    <row r="180" spans="1:6" s="49" customFormat="1">
      <c r="A180">
        <v>740262</v>
      </c>
      <c r="B180" t="s">
        <v>1623</v>
      </c>
      <c r="C180">
        <v>740000</v>
      </c>
      <c r="D180" t="s">
        <v>1609</v>
      </c>
      <c r="E180">
        <v>740001</v>
      </c>
      <c r="F180" t="s">
        <v>1611</v>
      </c>
    </row>
    <row r="181" spans="1:6" s="49" customFormat="1">
      <c r="A181">
        <v>740263</v>
      </c>
      <c r="B181" t="s">
        <v>1504</v>
      </c>
      <c r="C181">
        <v>740000</v>
      </c>
      <c r="D181" t="s">
        <v>1609</v>
      </c>
      <c r="E181">
        <v>740001</v>
      </c>
      <c r="F181" t="s">
        <v>1611</v>
      </c>
    </row>
    <row r="182" spans="1:6" s="49" customFormat="1">
      <c r="A182">
        <v>740264</v>
      </c>
      <c r="B182" t="s">
        <v>815</v>
      </c>
      <c r="C182">
        <v>740000</v>
      </c>
      <c r="D182" t="s">
        <v>1609</v>
      </c>
      <c r="E182">
        <v>740001</v>
      </c>
      <c r="F182" t="s">
        <v>1611</v>
      </c>
    </row>
    <row r="183" spans="1:6" s="49" customFormat="1">
      <c r="A183">
        <v>740265</v>
      </c>
      <c r="B183" t="s">
        <v>1624</v>
      </c>
      <c r="C183">
        <v>740000</v>
      </c>
      <c r="D183" t="s">
        <v>1609</v>
      </c>
      <c r="E183">
        <v>740001</v>
      </c>
      <c r="F183" t="s">
        <v>1611</v>
      </c>
    </row>
    <row r="184" spans="1:6" s="49" customFormat="1">
      <c r="A184">
        <v>740266</v>
      </c>
      <c r="B184" t="s">
        <v>1625</v>
      </c>
      <c r="C184">
        <v>740000</v>
      </c>
      <c r="D184" t="s">
        <v>1609</v>
      </c>
      <c r="E184">
        <v>740001</v>
      </c>
      <c r="F184" t="s">
        <v>1611</v>
      </c>
    </row>
    <row r="185" spans="1:6" s="49" customFormat="1">
      <c r="A185">
        <v>740267</v>
      </c>
      <c r="B185" t="s">
        <v>1777</v>
      </c>
      <c r="C185">
        <v>740000</v>
      </c>
      <c r="D185" t="s">
        <v>1609</v>
      </c>
      <c r="E185">
        <v>740001</v>
      </c>
      <c r="F185" t="s">
        <v>1611</v>
      </c>
    </row>
    <row r="186" spans="1:6" s="49" customFormat="1">
      <c r="A186">
        <v>740268</v>
      </c>
      <c r="B186" t="s">
        <v>1626</v>
      </c>
      <c r="C186">
        <v>740000</v>
      </c>
      <c r="D186" t="s">
        <v>1609</v>
      </c>
      <c r="E186">
        <v>740001</v>
      </c>
      <c r="F186" t="s">
        <v>1611</v>
      </c>
    </row>
    <row r="187" spans="1:6" s="49" customFormat="1">
      <c r="A187">
        <v>740269</v>
      </c>
      <c r="B187" t="s">
        <v>819</v>
      </c>
      <c r="C187">
        <v>740000</v>
      </c>
      <c r="D187" t="s">
        <v>1609</v>
      </c>
      <c r="E187">
        <v>740001</v>
      </c>
      <c r="F187" t="s">
        <v>1611</v>
      </c>
    </row>
    <row r="188" spans="1:6" s="49" customFormat="1">
      <c r="A188">
        <v>740270</v>
      </c>
      <c r="B188" t="s">
        <v>820</v>
      </c>
      <c r="C188">
        <v>740000</v>
      </c>
      <c r="D188" t="s">
        <v>1609</v>
      </c>
      <c r="E188">
        <v>740001</v>
      </c>
      <c r="F188" t="s">
        <v>1611</v>
      </c>
    </row>
    <row r="189" spans="1:6" s="49" customFormat="1">
      <c r="A189">
        <v>740272</v>
      </c>
      <c r="B189" t="s">
        <v>821</v>
      </c>
      <c r="C189">
        <v>740000</v>
      </c>
      <c r="D189" t="s">
        <v>1609</v>
      </c>
      <c r="E189">
        <v>740001</v>
      </c>
      <c r="F189" t="s">
        <v>1611</v>
      </c>
    </row>
    <row r="190" spans="1:6" s="49" customFormat="1">
      <c r="A190">
        <v>740273</v>
      </c>
      <c r="B190" t="s">
        <v>1627</v>
      </c>
      <c r="C190">
        <v>740000</v>
      </c>
      <c r="D190" t="s">
        <v>1609</v>
      </c>
      <c r="E190">
        <v>740001</v>
      </c>
      <c r="F190" t="s">
        <v>1611</v>
      </c>
    </row>
    <row r="191" spans="1:6" s="49" customFormat="1">
      <c r="A191">
        <v>740281</v>
      </c>
      <c r="B191" t="s">
        <v>825</v>
      </c>
      <c r="C191">
        <v>740000</v>
      </c>
      <c r="D191" t="s">
        <v>1609</v>
      </c>
      <c r="E191">
        <v>740001</v>
      </c>
      <c r="F191" t="s">
        <v>1611</v>
      </c>
    </row>
    <row r="192" spans="1:6" s="49" customFormat="1">
      <c r="A192">
        <v>740282</v>
      </c>
      <c r="B192" t="s">
        <v>1628</v>
      </c>
      <c r="C192">
        <v>740000</v>
      </c>
      <c r="D192" t="s">
        <v>1609</v>
      </c>
      <c r="E192">
        <v>740001</v>
      </c>
      <c r="F192" t="s">
        <v>1611</v>
      </c>
    </row>
    <row r="193" spans="1:6" s="49" customFormat="1">
      <c r="A193">
        <v>740283</v>
      </c>
      <c r="B193" t="s">
        <v>827</v>
      </c>
      <c r="C193">
        <v>740000</v>
      </c>
      <c r="D193" t="s">
        <v>1609</v>
      </c>
      <c r="E193">
        <v>740001</v>
      </c>
      <c r="F193" t="s">
        <v>1611</v>
      </c>
    </row>
    <row r="194" spans="1:6" s="49" customFormat="1">
      <c r="A194">
        <v>740284</v>
      </c>
      <c r="B194" t="s">
        <v>1499</v>
      </c>
      <c r="C194">
        <v>740000</v>
      </c>
      <c r="D194" t="s">
        <v>1609</v>
      </c>
      <c r="E194">
        <v>740001</v>
      </c>
      <c r="F194" t="s">
        <v>1611</v>
      </c>
    </row>
    <row r="195" spans="1:6" s="49" customFormat="1">
      <c r="A195">
        <v>740285</v>
      </c>
      <c r="B195" t="s">
        <v>1500</v>
      </c>
      <c r="C195">
        <v>740000</v>
      </c>
      <c r="D195" t="s">
        <v>1609</v>
      </c>
      <c r="E195">
        <v>740001</v>
      </c>
      <c r="F195" t="s">
        <v>1611</v>
      </c>
    </row>
    <row r="196" spans="1:6" s="49" customFormat="1">
      <c r="A196">
        <v>740286</v>
      </c>
      <c r="B196" t="s">
        <v>830</v>
      </c>
      <c r="C196">
        <v>740000</v>
      </c>
      <c r="D196" t="s">
        <v>1609</v>
      </c>
      <c r="E196">
        <v>740001</v>
      </c>
      <c r="F196" t="s">
        <v>1611</v>
      </c>
    </row>
    <row r="197" spans="1:6" s="49" customFormat="1">
      <c r="A197">
        <v>740301</v>
      </c>
      <c r="B197" t="s">
        <v>832</v>
      </c>
      <c r="C197">
        <v>740000</v>
      </c>
      <c r="D197" t="s">
        <v>1609</v>
      </c>
      <c r="E197">
        <v>740003</v>
      </c>
      <c r="F197" t="s">
        <v>1629</v>
      </c>
    </row>
    <row r="198" spans="1:6" s="49" customFormat="1">
      <c r="A198">
        <v>740302</v>
      </c>
      <c r="B198" t="s">
        <v>833</v>
      </c>
      <c r="C198">
        <v>740000</v>
      </c>
      <c r="D198" t="s">
        <v>1609</v>
      </c>
      <c r="E198">
        <v>740003</v>
      </c>
      <c r="F198" t="s">
        <v>1629</v>
      </c>
    </row>
    <row r="199" spans="1:6" s="49" customFormat="1">
      <c r="A199">
        <v>740303</v>
      </c>
      <c r="B199" t="s">
        <v>834</v>
      </c>
      <c r="C199">
        <v>740000</v>
      </c>
      <c r="D199" t="s">
        <v>1609</v>
      </c>
      <c r="E199">
        <v>740003</v>
      </c>
      <c r="F199" t="s">
        <v>1629</v>
      </c>
    </row>
    <row r="200" spans="1:6" s="49" customFormat="1">
      <c r="A200">
        <v>740304</v>
      </c>
      <c r="B200" t="s">
        <v>835</v>
      </c>
      <c r="C200">
        <v>740000</v>
      </c>
      <c r="D200" t="s">
        <v>1609</v>
      </c>
      <c r="E200">
        <v>740003</v>
      </c>
      <c r="F200" t="s">
        <v>1629</v>
      </c>
    </row>
    <row r="201" spans="1:6" s="49" customFormat="1">
      <c r="A201">
        <v>740305</v>
      </c>
      <c r="B201" t="s">
        <v>836</v>
      </c>
      <c r="C201">
        <v>740000</v>
      </c>
      <c r="D201" t="s">
        <v>1609</v>
      </c>
      <c r="E201">
        <v>740003</v>
      </c>
      <c r="F201" t="s">
        <v>1629</v>
      </c>
    </row>
    <row r="202" spans="1:6" s="49" customFormat="1">
      <c r="A202">
        <v>740306</v>
      </c>
      <c r="B202" t="s">
        <v>837</v>
      </c>
      <c r="C202">
        <v>740000</v>
      </c>
      <c r="D202" t="s">
        <v>1609</v>
      </c>
      <c r="E202">
        <v>740003</v>
      </c>
      <c r="F202" t="s">
        <v>1629</v>
      </c>
    </row>
    <row r="203" spans="1:6" s="49" customFormat="1">
      <c r="A203">
        <v>740307</v>
      </c>
      <c r="B203" t="s">
        <v>838</v>
      </c>
      <c r="C203">
        <v>740000</v>
      </c>
      <c r="D203" t="s">
        <v>1609</v>
      </c>
      <c r="E203">
        <v>740003</v>
      </c>
      <c r="F203" t="s">
        <v>1629</v>
      </c>
    </row>
    <row r="204" spans="1:6" s="49" customFormat="1">
      <c r="A204">
        <v>740308</v>
      </c>
      <c r="B204" t="s">
        <v>839</v>
      </c>
      <c r="C204">
        <v>740000</v>
      </c>
      <c r="D204" t="s">
        <v>1609</v>
      </c>
      <c r="E204">
        <v>740003</v>
      </c>
      <c r="F204" t="s">
        <v>1629</v>
      </c>
    </row>
    <row r="205" spans="1:6" s="49" customFormat="1">
      <c r="A205">
        <v>740309</v>
      </c>
      <c r="B205" t="s">
        <v>840</v>
      </c>
      <c r="C205">
        <v>740000</v>
      </c>
      <c r="D205" t="s">
        <v>1609</v>
      </c>
      <c r="E205">
        <v>740001</v>
      </c>
      <c r="F205" t="s">
        <v>1611</v>
      </c>
    </row>
    <row r="206" spans="1:6" s="49" customFormat="1">
      <c r="A206">
        <v>740311</v>
      </c>
      <c r="B206" t="s">
        <v>842</v>
      </c>
      <c r="C206">
        <v>740000</v>
      </c>
      <c r="D206" t="s">
        <v>1609</v>
      </c>
      <c r="E206">
        <v>740003</v>
      </c>
      <c r="F206" t="s">
        <v>1629</v>
      </c>
    </row>
    <row r="207" spans="1:6" s="49" customFormat="1">
      <c r="A207">
        <v>740351</v>
      </c>
      <c r="B207" t="s">
        <v>844</v>
      </c>
      <c r="C207">
        <v>740000</v>
      </c>
      <c r="D207" t="s">
        <v>1609</v>
      </c>
      <c r="E207">
        <v>740001</v>
      </c>
      <c r="F207" t="s">
        <v>1611</v>
      </c>
    </row>
    <row r="208" spans="1:6" s="49" customFormat="1">
      <c r="A208">
        <v>740354</v>
      </c>
      <c r="B208" t="s">
        <v>847</v>
      </c>
      <c r="C208">
        <v>740000</v>
      </c>
      <c r="D208" t="s">
        <v>1609</v>
      </c>
      <c r="E208">
        <v>740001</v>
      </c>
      <c r="F208" t="s">
        <v>1611</v>
      </c>
    </row>
    <row r="209" spans="1:6" s="49" customFormat="1">
      <c r="A209">
        <v>740355</v>
      </c>
      <c r="B209" t="s">
        <v>848</v>
      </c>
      <c r="C209">
        <v>740000</v>
      </c>
      <c r="D209" t="s">
        <v>1609</v>
      </c>
      <c r="E209">
        <v>740001</v>
      </c>
      <c r="F209" t="s">
        <v>1611</v>
      </c>
    </row>
    <row r="210" spans="1:6" s="49" customFormat="1">
      <c r="A210">
        <v>740451</v>
      </c>
      <c r="B210" t="s">
        <v>850</v>
      </c>
      <c r="C210">
        <v>740000</v>
      </c>
      <c r="D210" t="s">
        <v>1609</v>
      </c>
      <c r="E210">
        <v>740004</v>
      </c>
      <c r="F210" t="s">
        <v>1631</v>
      </c>
    </row>
    <row r="211" spans="1:6" s="49" customFormat="1">
      <c r="A211">
        <v>740452</v>
      </c>
      <c r="B211" t="s">
        <v>851</v>
      </c>
      <c r="C211">
        <v>740000</v>
      </c>
      <c r="D211" t="s">
        <v>1609</v>
      </c>
      <c r="E211">
        <v>740004</v>
      </c>
      <c r="F211" t="s">
        <v>1631</v>
      </c>
    </row>
    <row r="212" spans="1:6" s="49" customFormat="1">
      <c r="A212">
        <v>740453</v>
      </c>
      <c r="B212" t="s">
        <v>852</v>
      </c>
      <c r="C212">
        <v>740000</v>
      </c>
      <c r="D212" t="s">
        <v>1609</v>
      </c>
      <c r="E212">
        <v>740004</v>
      </c>
      <c r="F212" t="s">
        <v>1631</v>
      </c>
    </row>
    <row r="213" spans="1:6" s="49" customFormat="1">
      <c r="A213">
        <v>740501</v>
      </c>
      <c r="B213" t="s">
        <v>854</v>
      </c>
      <c r="C213">
        <v>740000</v>
      </c>
      <c r="D213" t="s">
        <v>1609</v>
      </c>
      <c r="E213">
        <v>740005</v>
      </c>
      <c r="F213" t="s">
        <v>1632</v>
      </c>
    </row>
    <row r="214" spans="1:6" s="49" customFormat="1">
      <c r="A214">
        <v>740502</v>
      </c>
      <c r="B214" t="s">
        <v>855</v>
      </c>
      <c r="C214">
        <v>740000</v>
      </c>
      <c r="D214" t="s">
        <v>1609</v>
      </c>
      <c r="E214">
        <v>740005</v>
      </c>
      <c r="F214" t="s">
        <v>1632</v>
      </c>
    </row>
    <row r="215" spans="1:6" s="49" customFormat="1">
      <c r="A215">
        <v>740503</v>
      </c>
      <c r="B215" t="s">
        <v>856</v>
      </c>
      <c r="C215">
        <v>740000</v>
      </c>
      <c r="D215" t="s">
        <v>1609</v>
      </c>
      <c r="E215">
        <v>740005</v>
      </c>
      <c r="F215" t="s">
        <v>1632</v>
      </c>
    </row>
    <row r="216" spans="1:6" s="49" customFormat="1">
      <c r="A216">
        <v>740504</v>
      </c>
      <c r="B216" t="s">
        <v>857</v>
      </c>
      <c r="C216">
        <v>740000</v>
      </c>
      <c r="D216" t="s">
        <v>1609</v>
      </c>
      <c r="E216">
        <v>740005</v>
      </c>
      <c r="F216" t="s">
        <v>1632</v>
      </c>
    </row>
    <row r="217" spans="1:6" s="49" customFormat="1">
      <c r="A217">
        <v>740505</v>
      </c>
      <c r="B217" t="s">
        <v>1778</v>
      </c>
      <c r="C217">
        <v>740000</v>
      </c>
      <c r="D217" t="s">
        <v>1609</v>
      </c>
      <c r="E217">
        <v>740005</v>
      </c>
      <c r="F217" t="s">
        <v>1632</v>
      </c>
    </row>
    <row r="218" spans="1:6" s="49" customFormat="1">
      <c r="A218">
        <v>740521</v>
      </c>
      <c r="B218" t="s">
        <v>858</v>
      </c>
      <c r="C218">
        <v>740000</v>
      </c>
      <c r="D218" t="s">
        <v>1609</v>
      </c>
      <c r="E218">
        <v>740005</v>
      </c>
      <c r="F218" t="s">
        <v>1632</v>
      </c>
    </row>
    <row r="219" spans="1:6" s="49" customFormat="1">
      <c r="A219">
        <v>740522</v>
      </c>
      <c r="B219" t="s">
        <v>859</v>
      </c>
      <c r="C219">
        <v>740000</v>
      </c>
      <c r="D219" t="s">
        <v>1609</v>
      </c>
      <c r="E219">
        <v>740005</v>
      </c>
      <c r="F219" t="s">
        <v>1632</v>
      </c>
    </row>
    <row r="220" spans="1:6" s="49" customFormat="1">
      <c r="A220">
        <v>740523</v>
      </c>
      <c r="B220" t="s">
        <v>860</v>
      </c>
      <c r="C220">
        <v>740000</v>
      </c>
      <c r="D220" t="s">
        <v>1609</v>
      </c>
      <c r="E220">
        <v>740005</v>
      </c>
      <c r="F220" t="s">
        <v>1632</v>
      </c>
    </row>
    <row r="221" spans="1:6" s="49" customFormat="1">
      <c r="A221">
        <v>740524</v>
      </c>
      <c r="B221" t="s">
        <v>861</v>
      </c>
      <c r="C221">
        <v>740000</v>
      </c>
      <c r="D221" t="s">
        <v>1609</v>
      </c>
      <c r="E221">
        <v>740005</v>
      </c>
      <c r="F221" t="s">
        <v>1632</v>
      </c>
    </row>
    <row r="222" spans="1:6" s="49" customFormat="1">
      <c r="A222">
        <v>740525</v>
      </c>
      <c r="B222" t="s">
        <v>1779</v>
      </c>
      <c r="C222">
        <v>740000</v>
      </c>
      <c r="D222" t="s">
        <v>1609</v>
      </c>
      <c r="E222">
        <v>740005</v>
      </c>
      <c r="F222" t="s">
        <v>1632</v>
      </c>
    </row>
    <row r="223" spans="1:6" s="49" customFormat="1">
      <c r="A223">
        <v>740541</v>
      </c>
      <c r="B223" t="s">
        <v>863</v>
      </c>
      <c r="C223">
        <v>740000</v>
      </c>
      <c r="D223" t="s">
        <v>1609</v>
      </c>
      <c r="E223">
        <v>740005</v>
      </c>
      <c r="F223" t="s">
        <v>1632</v>
      </c>
    </row>
    <row r="224" spans="1:6" s="49" customFormat="1">
      <c r="A224">
        <v>740542</v>
      </c>
      <c r="B224" t="s">
        <v>864</v>
      </c>
      <c r="C224">
        <v>740000</v>
      </c>
      <c r="D224" t="s">
        <v>1609</v>
      </c>
      <c r="E224">
        <v>740005</v>
      </c>
      <c r="F224" t="s">
        <v>1632</v>
      </c>
    </row>
    <row r="225" spans="1:6" s="49" customFormat="1">
      <c r="A225">
        <v>740543</v>
      </c>
      <c r="B225" t="s">
        <v>865</v>
      </c>
      <c r="C225">
        <v>740000</v>
      </c>
      <c r="D225" t="s">
        <v>1609</v>
      </c>
      <c r="E225">
        <v>740005</v>
      </c>
      <c r="F225" t="s">
        <v>1632</v>
      </c>
    </row>
    <row r="226" spans="1:6" s="49" customFormat="1">
      <c r="A226">
        <v>740544</v>
      </c>
      <c r="B226" t="s">
        <v>866</v>
      </c>
      <c r="C226">
        <v>740000</v>
      </c>
      <c r="D226" t="s">
        <v>1609</v>
      </c>
      <c r="E226">
        <v>740005</v>
      </c>
      <c r="F226" t="s">
        <v>1632</v>
      </c>
    </row>
    <row r="227" spans="1:6" s="49" customFormat="1">
      <c r="A227">
        <v>740545</v>
      </c>
      <c r="B227" t="s">
        <v>1780</v>
      </c>
      <c r="C227">
        <v>740000</v>
      </c>
      <c r="D227" t="s">
        <v>1609</v>
      </c>
      <c r="E227">
        <v>740005</v>
      </c>
      <c r="F227" t="s">
        <v>1632</v>
      </c>
    </row>
    <row r="228" spans="1:6" s="49" customFormat="1">
      <c r="A228">
        <v>740604</v>
      </c>
      <c r="B228" t="s">
        <v>1781</v>
      </c>
      <c r="C228">
        <v>740000</v>
      </c>
      <c r="D228" t="s">
        <v>1609</v>
      </c>
      <c r="E228">
        <v>740001</v>
      </c>
      <c r="F228" t="s">
        <v>1611</v>
      </c>
    </row>
    <row r="229" spans="1:6" s="49" customFormat="1">
      <c r="A229">
        <v>740703</v>
      </c>
      <c r="B229" t="s">
        <v>874</v>
      </c>
      <c r="C229">
        <v>740000</v>
      </c>
      <c r="D229" t="s">
        <v>1609</v>
      </c>
      <c r="E229">
        <v>740006</v>
      </c>
      <c r="F229" t="s">
        <v>1633</v>
      </c>
    </row>
    <row r="230" spans="1:6" s="49" customFormat="1">
      <c r="A230">
        <v>740704</v>
      </c>
      <c r="B230" t="s">
        <v>875</v>
      </c>
      <c r="C230">
        <v>740000</v>
      </c>
      <c r="D230" t="s">
        <v>1609</v>
      </c>
      <c r="E230">
        <v>740006</v>
      </c>
      <c r="F230" t="s">
        <v>1633</v>
      </c>
    </row>
    <row r="231" spans="1:6" s="49" customFormat="1">
      <c r="A231">
        <v>740705</v>
      </c>
      <c r="B231" t="s">
        <v>876</v>
      </c>
      <c r="C231">
        <v>740000</v>
      </c>
      <c r="D231" t="s">
        <v>1609</v>
      </c>
      <c r="E231">
        <v>740006</v>
      </c>
      <c r="F231" t="s">
        <v>1633</v>
      </c>
    </row>
    <row r="232" spans="1:6" s="49" customFormat="1">
      <c r="A232">
        <v>740706</v>
      </c>
      <c r="B232" t="s">
        <v>877</v>
      </c>
      <c r="C232">
        <v>740000</v>
      </c>
      <c r="D232" t="s">
        <v>1609</v>
      </c>
      <c r="E232">
        <v>740006</v>
      </c>
      <c r="F232" t="s">
        <v>1633</v>
      </c>
    </row>
    <row r="233" spans="1:6" s="49" customFormat="1">
      <c r="A233">
        <v>740707</v>
      </c>
      <c r="B233" t="s">
        <v>878</v>
      </c>
      <c r="C233">
        <v>740000</v>
      </c>
      <c r="D233" t="s">
        <v>1609</v>
      </c>
      <c r="E233">
        <v>740006</v>
      </c>
      <c r="F233" t="s">
        <v>1633</v>
      </c>
    </row>
    <row r="234" spans="1:6" s="49" customFormat="1">
      <c r="A234">
        <v>740710</v>
      </c>
      <c r="B234" t="s">
        <v>881</v>
      </c>
      <c r="C234">
        <v>740000</v>
      </c>
      <c r="D234" t="s">
        <v>1609</v>
      </c>
      <c r="E234">
        <v>740006</v>
      </c>
      <c r="F234" t="s">
        <v>1633</v>
      </c>
    </row>
    <row r="235" spans="1:6" s="49" customFormat="1">
      <c r="A235">
        <v>740711</v>
      </c>
      <c r="B235" t="s">
        <v>882</v>
      </c>
      <c r="C235">
        <v>740000</v>
      </c>
      <c r="D235" t="s">
        <v>1609</v>
      </c>
      <c r="E235">
        <v>740006</v>
      </c>
      <c r="F235" t="s">
        <v>1633</v>
      </c>
    </row>
    <row r="236" spans="1:6" s="49" customFormat="1">
      <c r="A236">
        <v>740712</v>
      </c>
      <c r="B236" t="s">
        <v>883</v>
      </c>
      <c r="C236">
        <v>740000</v>
      </c>
      <c r="D236" t="s">
        <v>1609</v>
      </c>
      <c r="E236">
        <v>740006</v>
      </c>
      <c r="F236" t="s">
        <v>1633</v>
      </c>
    </row>
    <row r="237" spans="1:6" s="49" customFormat="1">
      <c r="A237">
        <v>740713</v>
      </c>
      <c r="B237" t="s">
        <v>1634</v>
      </c>
      <c r="C237">
        <v>740000</v>
      </c>
      <c r="D237" t="s">
        <v>1609</v>
      </c>
      <c r="E237">
        <v>740001</v>
      </c>
      <c r="F237" t="s">
        <v>1611</v>
      </c>
    </row>
    <row r="238" spans="1:6" s="49" customFormat="1">
      <c r="A238">
        <v>740715</v>
      </c>
      <c r="B238" t="s">
        <v>884</v>
      </c>
      <c r="C238">
        <v>740000</v>
      </c>
      <c r="D238" t="s">
        <v>1609</v>
      </c>
      <c r="E238">
        <v>740006</v>
      </c>
      <c r="F238" t="s">
        <v>1633</v>
      </c>
    </row>
    <row r="239" spans="1:6" s="49" customFormat="1">
      <c r="A239">
        <v>740719</v>
      </c>
      <c r="B239" t="s">
        <v>885</v>
      </c>
      <c r="C239">
        <v>740000</v>
      </c>
      <c r="D239" t="s">
        <v>1609</v>
      </c>
      <c r="E239">
        <v>740006</v>
      </c>
      <c r="F239" t="s">
        <v>1633</v>
      </c>
    </row>
    <row r="240" spans="1:6" s="49" customFormat="1">
      <c r="A240">
        <v>740720</v>
      </c>
      <c r="B240" t="s">
        <v>886</v>
      </c>
      <c r="C240">
        <v>740000</v>
      </c>
      <c r="D240" t="s">
        <v>1609</v>
      </c>
      <c r="E240">
        <v>740006</v>
      </c>
      <c r="F240" t="s">
        <v>1633</v>
      </c>
    </row>
    <row r="241" spans="1:6" s="49" customFormat="1">
      <c r="A241">
        <v>740721</v>
      </c>
      <c r="B241" t="s">
        <v>887</v>
      </c>
      <c r="C241">
        <v>740000</v>
      </c>
      <c r="D241" t="s">
        <v>1609</v>
      </c>
      <c r="E241">
        <v>740006</v>
      </c>
      <c r="F241" t="s">
        <v>1633</v>
      </c>
    </row>
    <row r="242" spans="1:6" s="49" customFormat="1">
      <c r="A242">
        <v>740722</v>
      </c>
      <c r="B242" t="s">
        <v>888</v>
      </c>
      <c r="C242">
        <v>740000</v>
      </c>
      <c r="D242" t="s">
        <v>1609</v>
      </c>
      <c r="E242">
        <v>740015</v>
      </c>
      <c r="F242" t="s">
        <v>1645</v>
      </c>
    </row>
    <row r="243" spans="1:6" s="49" customFormat="1">
      <c r="A243">
        <v>740730</v>
      </c>
      <c r="B243" t="s">
        <v>889</v>
      </c>
      <c r="C243">
        <v>740000</v>
      </c>
      <c r="D243" t="s">
        <v>1609</v>
      </c>
      <c r="E243">
        <v>740006</v>
      </c>
      <c r="F243" t="s">
        <v>1633</v>
      </c>
    </row>
    <row r="244" spans="1:6" s="49" customFormat="1">
      <c r="A244">
        <v>740731</v>
      </c>
      <c r="B244" t="s">
        <v>1635</v>
      </c>
      <c r="C244">
        <v>740000</v>
      </c>
      <c r="D244" t="s">
        <v>1609</v>
      </c>
      <c r="E244">
        <v>740001</v>
      </c>
      <c r="F244" t="s">
        <v>1611</v>
      </c>
    </row>
    <row r="245" spans="1:6" s="49" customFormat="1">
      <c r="A245">
        <v>740741</v>
      </c>
      <c r="B245" t="s">
        <v>890</v>
      </c>
      <c r="C245">
        <v>740000</v>
      </c>
      <c r="D245" t="s">
        <v>1609</v>
      </c>
      <c r="E245">
        <v>740006</v>
      </c>
      <c r="F245" t="s">
        <v>1633</v>
      </c>
    </row>
    <row r="246" spans="1:6" s="49" customFormat="1">
      <c r="A246">
        <v>740742</v>
      </c>
      <c r="B246" t="s">
        <v>891</v>
      </c>
      <c r="C246">
        <v>740000</v>
      </c>
      <c r="D246" t="s">
        <v>1609</v>
      </c>
      <c r="E246">
        <v>740006</v>
      </c>
      <c r="F246" t="s">
        <v>1633</v>
      </c>
    </row>
    <row r="247" spans="1:6" s="49" customFormat="1">
      <c r="A247">
        <v>740750</v>
      </c>
      <c r="B247" t="s">
        <v>1782</v>
      </c>
      <c r="C247">
        <v>740000</v>
      </c>
      <c r="D247" t="s">
        <v>1609</v>
      </c>
      <c r="E247">
        <v>740001</v>
      </c>
      <c r="F247" t="s">
        <v>1611</v>
      </c>
    </row>
    <row r="248" spans="1:6" s="49" customFormat="1">
      <c r="A248">
        <v>740751</v>
      </c>
      <c r="B248" t="s">
        <v>1783</v>
      </c>
      <c r="C248">
        <v>740000</v>
      </c>
      <c r="D248" t="s">
        <v>1609</v>
      </c>
      <c r="E248">
        <v>740001</v>
      </c>
      <c r="F248" t="s">
        <v>1611</v>
      </c>
    </row>
    <row r="249" spans="1:6" s="49" customFormat="1">
      <c r="A249">
        <v>740752</v>
      </c>
      <c r="B249" t="s">
        <v>1784</v>
      </c>
      <c r="C249">
        <v>740000</v>
      </c>
      <c r="D249" t="s">
        <v>1609</v>
      </c>
      <c r="E249">
        <v>740006</v>
      </c>
      <c r="F249" t="s">
        <v>1633</v>
      </c>
    </row>
    <row r="250" spans="1:6" s="49" customFormat="1">
      <c r="A250">
        <v>740753</v>
      </c>
      <c r="B250" t="s">
        <v>1785</v>
      </c>
      <c r="C250">
        <v>740000</v>
      </c>
      <c r="D250" t="s">
        <v>1609</v>
      </c>
      <c r="E250">
        <v>740006</v>
      </c>
      <c r="F250" t="s">
        <v>1633</v>
      </c>
    </row>
    <row r="251" spans="1:6" s="49" customFormat="1">
      <c r="A251">
        <v>740754</v>
      </c>
      <c r="B251" t="s">
        <v>1786</v>
      </c>
      <c r="C251">
        <v>740000</v>
      </c>
      <c r="D251" t="s">
        <v>1609</v>
      </c>
      <c r="E251">
        <v>740006</v>
      </c>
      <c r="F251" t="s">
        <v>1633</v>
      </c>
    </row>
    <row r="252" spans="1:6" s="49" customFormat="1">
      <c r="A252">
        <v>740755</v>
      </c>
      <c r="B252" t="s">
        <v>1787</v>
      </c>
      <c r="C252">
        <v>740000</v>
      </c>
      <c r="D252" t="s">
        <v>1609</v>
      </c>
      <c r="E252">
        <v>740006</v>
      </c>
      <c r="F252" t="s">
        <v>1633</v>
      </c>
    </row>
    <row r="253" spans="1:6" s="49" customFormat="1">
      <c r="A253">
        <v>740756</v>
      </c>
      <c r="B253" t="s">
        <v>1788</v>
      </c>
      <c r="C253">
        <v>740000</v>
      </c>
      <c r="D253" t="s">
        <v>1609</v>
      </c>
      <c r="E253">
        <v>740006</v>
      </c>
      <c r="F253" t="s">
        <v>1633</v>
      </c>
    </row>
    <row r="254" spans="1:6" s="49" customFormat="1">
      <c r="A254">
        <v>740757</v>
      </c>
      <c r="B254" t="s">
        <v>1789</v>
      </c>
      <c r="C254">
        <v>740000</v>
      </c>
      <c r="D254" t="s">
        <v>1609</v>
      </c>
      <c r="E254">
        <v>740006</v>
      </c>
      <c r="F254" t="s">
        <v>1633</v>
      </c>
    </row>
    <row r="255" spans="1:6" s="49" customFormat="1">
      <c r="A255">
        <v>740758</v>
      </c>
      <c r="B255" t="s">
        <v>1790</v>
      </c>
      <c r="C255">
        <v>740000</v>
      </c>
      <c r="D255" t="s">
        <v>1609</v>
      </c>
      <c r="E255">
        <v>740006</v>
      </c>
      <c r="F255" t="s">
        <v>1633</v>
      </c>
    </row>
    <row r="256" spans="1:6" s="49" customFormat="1">
      <c r="A256">
        <v>740759</v>
      </c>
      <c r="B256" t="s">
        <v>1791</v>
      </c>
      <c r="C256">
        <v>740000</v>
      </c>
      <c r="D256" t="s">
        <v>1609</v>
      </c>
      <c r="E256">
        <v>740012</v>
      </c>
      <c r="F256" t="s">
        <v>1641</v>
      </c>
    </row>
    <row r="257" spans="1:6" s="49" customFormat="1">
      <c r="A257">
        <v>740799</v>
      </c>
      <c r="B257" t="s">
        <v>1792</v>
      </c>
      <c r="C257">
        <v>740000</v>
      </c>
      <c r="D257" t="s">
        <v>1609</v>
      </c>
      <c r="E257">
        <v>740001</v>
      </c>
      <c r="F257" t="s">
        <v>1611</v>
      </c>
    </row>
    <row r="258" spans="1:6" s="49" customFormat="1">
      <c r="A258">
        <v>740800</v>
      </c>
      <c r="B258" t="s">
        <v>1793</v>
      </c>
      <c r="C258">
        <v>740000</v>
      </c>
      <c r="D258" t="s">
        <v>1609</v>
      </c>
      <c r="E258">
        <v>740007</v>
      </c>
      <c r="F258" t="s">
        <v>1636</v>
      </c>
    </row>
    <row r="259" spans="1:6" s="49" customFormat="1">
      <c r="A259">
        <v>740801</v>
      </c>
      <c r="B259" t="s">
        <v>1794</v>
      </c>
      <c r="C259">
        <v>740000</v>
      </c>
      <c r="D259" t="s">
        <v>1609</v>
      </c>
      <c r="E259">
        <v>740007</v>
      </c>
      <c r="F259" t="s">
        <v>1636</v>
      </c>
    </row>
    <row r="260" spans="1:6" s="49" customFormat="1">
      <c r="A260">
        <v>740802</v>
      </c>
      <c r="B260" t="s">
        <v>892</v>
      </c>
      <c r="C260">
        <v>740000</v>
      </c>
      <c r="D260" t="s">
        <v>1609</v>
      </c>
      <c r="E260">
        <v>740007</v>
      </c>
      <c r="F260" t="s">
        <v>1636</v>
      </c>
    </row>
    <row r="261" spans="1:6" s="49" customFormat="1">
      <c r="A261">
        <v>740803</v>
      </c>
      <c r="B261" t="s">
        <v>893</v>
      </c>
      <c r="C261">
        <v>740000</v>
      </c>
      <c r="D261" t="s">
        <v>1609</v>
      </c>
      <c r="E261">
        <v>740007</v>
      </c>
      <c r="F261" t="s">
        <v>1636</v>
      </c>
    </row>
    <row r="262" spans="1:6" s="49" customFormat="1">
      <c r="A262">
        <v>740804</v>
      </c>
      <c r="B262" t="s">
        <v>894</v>
      </c>
      <c r="C262">
        <v>740000</v>
      </c>
      <c r="D262" t="s">
        <v>1609</v>
      </c>
      <c r="E262">
        <v>740007</v>
      </c>
      <c r="F262" t="s">
        <v>1636</v>
      </c>
    </row>
    <row r="263" spans="1:6" s="49" customFormat="1">
      <c r="A263">
        <v>740811</v>
      </c>
      <c r="B263" t="s">
        <v>895</v>
      </c>
      <c r="C263">
        <v>740000</v>
      </c>
      <c r="D263" t="s">
        <v>1609</v>
      </c>
      <c r="E263">
        <v>740007</v>
      </c>
      <c r="F263" t="s">
        <v>1636</v>
      </c>
    </row>
    <row r="264" spans="1:6" s="49" customFormat="1">
      <c r="A264">
        <v>740821</v>
      </c>
      <c r="B264" t="s">
        <v>896</v>
      </c>
      <c r="C264">
        <v>740000</v>
      </c>
      <c r="D264" t="s">
        <v>1609</v>
      </c>
      <c r="E264">
        <v>740007</v>
      </c>
      <c r="F264" t="s">
        <v>1636</v>
      </c>
    </row>
    <row r="265" spans="1:6" s="49" customFormat="1">
      <c r="A265">
        <v>740822</v>
      </c>
      <c r="B265" t="s">
        <v>897</v>
      </c>
      <c r="C265">
        <v>740000</v>
      </c>
      <c r="D265" t="s">
        <v>1609</v>
      </c>
      <c r="E265">
        <v>740007</v>
      </c>
      <c r="F265" t="s">
        <v>1636</v>
      </c>
    </row>
    <row r="266" spans="1:6" s="49" customFormat="1">
      <c r="A266">
        <v>740823</v>
      </c>
      <c r="B266" t="s">
        <v>898</v>
      </c>
      <c r="C266">
        <v>740000</v>
      </c>
      <c r="D266" t="s">
        <v>1609</v>
      </c>
      <c r="E266">
        <v>740007</v>
      </c>
      <c r="F266" t="s">
        <v>1636</v>
      </c>
    </row>
    <row r="267" spans="1:6" s="49" customFormat="1">
      <c r="A267">
        <v>740824</v>
      </c>
      <c r="B267" t="s">
        <v>899</v>
      </c>
      <c r="C267">
        <v>740000</v>
      </c>
      <c r="D267" t="s">
        <v>1609</v>
      </c>
      <c r="E267">
        <v>740007</v>
      </c>
      <c r="F267" t="s">
        <v>1636</v>
      </c>
    </row>
    <row r="268" spans="1:6" s="49" customFormat="1">
      <c r="A268">
        <v>740831</v>
      </c>
      <c r="B268" t="s">
        <v>900</v>
      </c>
      <c r="C268">
        <v>740000</v>
      </c>
      <c r="D268" t="s">
        <v>1609</v>
      </c>
      <c r="E268">
        <v>740007</v>
      </c>
      <c r="F268" t="s">
        <v>1636</v>
      </c>
    </row>
    <row r="269" spans="1:6" s="49" customFormat="1">
      <c r="A269">
        <v>740832</v>
      </c>
      <c r="B269" t="s">
        <v>901</v>
      </c>
      <c r="C269">
        <v>740000</v>
      </c>
      <c r="D269" t="s">
        <v>1609</v>
      </c>
      <c r="E269">
        <v>740007</v>
      </c>
      <c r="F269" t="s">
        <v>1636</v>
      </c>
    </row>
    <row r="270" spans="1:6" s="49" customFormat="1">
      <c r="A270">
        <v>740841</v>
      </c>
      <c r="B270" t="s">
        <v>902</v>
      </c>
      <c r="C270">
        <v>740000</v>
      </c>
      <c r="D270" t="s">
        <v>1609</v>
      </c>
      <c r="E270">
        <v>740007</v>
      </c>
      <c r="F270" t="s">
        <v>1636</v>
      </c>
    </row>
    <row r="271" spans="1:6" s="49" customFormat="1">
      <c r="A271">
        <v>740902</v>
      </c>
      <c r="B271" t="s">
        <v>905</v>
      </c>
      <c r="C271">
        <v>740000</v>
      </c>
      <c r="D271" t="s">
        <v>1609</v>
      </c>
      <c r="E271">
        <v>740008</v>
      </c>
      <c r="F271" t="s">
        <v>1637</v>
      </c>
    </row>
    <row r="272" spans="1:6" s="49" customFormat="1">
      <c r="A272">
        <v>740903</v>
      </c>
      <c r="B272" t="s">
        <v>906</v>
      </c>
      <c r="C272">
        <v>740000</v>
      </c>
      <c r="D272" t="s">
        <v>1609</v>
      </c>
      <c r="E272">
        <v>740008</v>
      </c>
      <c r="F272" t="s">
        <v>1637</v>
      </c>
    </row>
    <row r="273" spans="1:6" s="49" customFormat="1">
      <c r="A273">
        <v>740904</v>
      </c>
      <c r="B273" t="s">
        <v>907</v>
      </c>
      <c r="C273">
        <v>740000</v>
      </c>
      <c r="D273" t="s">
        <v>1609</v>
      </c>
      <c r="E273">
        <v>740008</v>
      </c>
      <c r="F273" t="s">
        <v>1637</v>
      </c>
    </row>
    <row r="274" spans="1:6" s="49" customFormat="1">
      <c r="A274">
        <v>740905</v>
      </c>
      <c r="B274" t="s">
        <v>908</v>
      </c>
      <c r="C274">
        <v>740000</v>
      </c>
      <c r="D274" t="s">
        <v>1609</v>
      </c>
      <c r="E274">
        <v>740008</v>
      </c>
      <c r="F274" t="s">
        <v>1637</v>
      </c>
    </row>
    <row r="275" spans="1:6" s="49" customFormat="1">
      <c r="A275">
        <v>740909</v>
      </c>
      <c r="B275" t="s">
        <v>912</v>
      </c>
      <c r="C275">
        <v>740000</v>
      </c>
      <c r="D275" t="s">
        <v>1609</v>
      </c>
      <c r="E275">
        <v>740008</v>
      </c>
      <c r="F275" t="s">
        <v>1637</v>
      </c>
    </row>
    <row r="276" spans="1:6" s="49" customFormat="1">
      <c r="A276">
        <v>740911</v>
      </c>
      <c r="B276" t="s">
        <v>914</v>
      </c>
      <c r="C276">
        <v>740000</v>
      </c>
      <c r="D276" t="s">
        <v>1609</v>
      </c>
      <c r="E276">
        <v>740008</v>
      </c>
      <c r="F276" t="s">
        <v>1637</v>
      </c>
    </row>
    <row r="277" spans="1:6" s="49" customFormat="1">
      <c r="A277">
        <v>740914</v>
      </c>
      <c r="B277" t="s">
        <v>917</v>
      </c>
      <c r="C277">
        <v>740000</v>
      </c>
      <c r="D277" t="s">
        <v>1609</v>
      </c>
      <c r="E277">
        <v>740008</v>
      </c>
      <c r="F277" t="s">
        <v>1637</v>
      </c>
    </row>
    <row r="278" spans="1:6" s="49" customFormat="1">
      <c r="A278">
        <v>740916</v>
      </c>
      <c r="B278" t="s">
        <v>919</v>
      </c>
      <c r="C278">
        <v>740000</v>
      </c>
      <c r="D278" t="s">
        <v>1609</v>
      </c>
      <c r="E278">
        <v>740009</v>
      </c>
      <c r="F278" t="s">
        <v>1638</v>
      </c>
    </row>
    <row r="279" spans="1:6" s="49" customFormat="1">
      <c r="A279">
        <v>740920</v>
      </c>
      <c r="B279" t="s">
        <v>923</v>
      </c>
      <c r="C279">
        <v>740000</v>
      </c>
      <c r="D279" t="s">
        <v>1609</v>
      </c>
      <c r="E279">
        <v>740008</v>
      </c>
      <c r="F279" t="s">
        <v>1637</v>
      </c>
    </row>
    <row r="280" spans="1:6" s="49" customFormat="1">
      <c r="A280">
        <v>740922</v>
      </c>
      <c r="B280" t="s">
        <v>1639</v>
      </c>
      <c r="C280">
        <v>740000</v>
      </c>
      <c r="D280" t="s">
        <v>1609</v>
      </c>
      <c r="E280">
        <v>740008</v>
      </c>
      <c r="F280" t="s">
        <v>1637</v>
      </c>
    </row>
    <row r="281" spans="1:6" s="49" customFormat="1">
      <c r="A281">
        <v>740923</v>
      </c>
      <c r="B281" t="s">
        <v>926</v>
      </c>
      <c r="C281">
        <v>740000</v>
      </c>
      <c r="D281" t="s">
        <v>1609</v>
      </c>
      <c r="E281">
        <v>740008</v>
      </c>
      <c r="F281" t="s">
        <v>1637</v>
      </c>
    </row>
    <row r="282" spans="1:6" s="49" customFormat="1">
      <c r="A282">
        <v>740924</v>
      </c>
      <c r="B282" t="s">
        <v>927</v>
      </c>
      <c r="C282">
        <v>740000</v>
      </c>
      <c r="D282" t="s">
        <v>1609</v>
      </c>
      <c r="E282">
        <v>740008</v>
      </c>
      <c r="F282" t="s">
        <v>1637</v>
      </c>
    </row>
    <row r="283" spans="1:6" s="49" customFormat="1">
      <c r="A283">
        <v>740930</v>
      </c>
      <c r="B283" t="s">
        <v>928</v>
      </c>
      <c r="C283">
        <v>740000</v>
      </c>
      <c r="D283" t="s">
        <v>1609</v>
      </c>
      <c r="E283">
        <v>740008</v>
      </c>
      <c r="F283" t="s">
        <v>1637</v>
      </c>
    </row>
    <row r="284" spans="1:6" s="49" customFormat="1">
      <c r="A284">
        <v>741001</v>
      </c>
      <c r="B284" t="s">
        <v>930</v>
      </c>
      <c r="C284">
        <v>740000</v>
      </c>
      <c r="D284" t="s">
        <v>1609</v>
      </c>
      <c r="E284">
        <v>740010</v>
      </c>
      <c r="F284" t="s">
        <v>1640</v>
      </c>
    </row>
    <row r="285" spans="1:6" s="49" customFormat="1">
      <c r="A285">
        <v>741002</v>
      </c>
      <c r="B285" t="s">
        <v>931</v>
      </c>
      <c r="C285">
        <v>740000</v>
      </c>
      <c r="D285" t="s">
        <v>1609</v>
      </c>
      <c r="E285">
        <v>740010</v>
      </c>
      <c r="F285" t="s">
        <v>1640</v>
      </c>
    </row>
    <row r="286" spans="1:6" s="49" customFormat="1">
      <c r="A286">
        <v>741005</v>
      </c>
      <c r="B286" t="s">
        <v>934</v>
      </c>
      <c r="C286">
        <v>740000</v>
      </c>
      <c r="D286" t="s">
        <v>1609</v>
      </c>
      <c r="E286">
        <v>740010</v>
      </c>
      <c r="F286" t="s">
        <v>1640</v>
      </c>
    </row>
    <row r="287" spans="1:6" s="49" customFormat="1">
      <c r="A287">
        <v>741008</v>
      </c>
      <c r="B287" t="s">
        <v>937</v>
      </c>
      <c r="C287">
        <v>740000</v>
      </c>
      <c r="D287" t="s">
        <v>1609</v>
      </c>
      <c r="E287">
        <v>740010</v>
      </c>
      <c r="F287" t="s">
        <v>1640</v>
      </c>
    </row>
    <row r="288" spans="1:6" s="49" customFormat="1">
      <c r="A288">
        <v>741009</v>
      </c>
      <c r="B288" t="s">
        <v>938</v>
      </c>
      <c r="C288">
        <v>740000</v>
      </c>
      <c r="D288" t="s">
        <v>1609</v>
      </c>
      <c r="E288">
        <v>740010</v>
      </c>
      <c r="F288" t="s">
        <v>1640</v>
      </c>
    </row>
    <row r="289" spans="1:6" s="49" customFormat="1">
      <c r="A289">
        <v>741010</v>
      </c>
      <c r="B289" t="s">
        <v>939</v>
      </c>
      <c r="C289">
        <v>740000</v>
      </c>
      <c r="D289" t="s">
        <v>1609</v>
      </c>
      <c r="E289">
        <v>740010</v>
      </c>
      <c r="F289" t="s">
        <v>1640</v>
      </c>
    </row>
    <row r="290" spans="1:6" s="49" customFormat="1">
      <c r="A290">
        <v>741011</v>
      </c>
      <c r="B290" t="s">
        <v>940</v>
      </c>
      <c r="C290">
        <v>740000</v>
      </c>
      <c r="D290" t="s">
        <v>1609</v>
      </c>
      <c r="E290">
        <v>740010</v>
      </c>
      <c r="F290" t="s">
        <v>1640</v>
      </c>
    </row>
    <row r="291" spans="1:6" s="49" customFormat="1">
      <c r="A291">
        <v>741014</v>
      </c>
      <c r="B291" t="s">
        <v>943</v>
      </c>
      <c r="C291">
        <v>740000</v>
      </c>
      <c r="D291" t="s">
        <v>1609</v>
      </c>
      <c r="E291">
        <v>740010</v>
      </c>
      <c r="F291" t="s">
        <v>1640</v>
      </c>
    </row>
    <row r="292" spans="1:6" s="49" customFormat="1">
      <c r="A292">
        <v>741016</v>
      </c>
      <c r="B292" t="s">
        <v>945</v>
      </c>
      <c r="C292">
        <v>740000</v>
      </c>
      <c r="D292" t="s">
        <v>1609</v>
      </c>
      <c r="E292">
        <v>740010</v>
      </c>
      <c r="F292" t="s">
        <v>1640</v>
      </c>
    </row>
    <row r="293" spans="1:6" s="49" customFormat="1">
      <c r="A293">
        <v>741017</v>
      </c>
      <c r="B293" t="s">
        <v>946</v>
      </c>
      <c r="C293">
        <v>740000</v>
      </c>
      <c r="D293" t="s">
        <v>1609</v>
      </c>
      <c r="E293">
        <v>740010</v>
      </c>
      <c r="F293" t="s">
        <v>1640</v>
      </c>
    </row>
    <row r="294" spans="1:6" s="49" customFormat="1">
      <c r="A294">
        <v>741019</v>
      </c>
      <c r="B294" t="s">
        <v>948</v>
      </c>
      <c r="C294">
        <v>740000</v>
      </c>
      <c r="D294" t="s">
        <v>1609</v>
      </c>
      <c r="E294">
        <v>740010</v>
      </c>
      <c r="F294" t="s">
        <v>1640</v>
      </c>
    </row>
    <row r="295" spans="1:6" s="49" customFormat="1">
      <c r="A295">
        <v>741020</v>
      </c>
      <c r="B295" t="s">
        <v>949</v>
      </c>
      <c r="C295">
        <v>740000</v>
      </c>
      <c r="D295" t="s">
        <v>1609</v>
      </c>
      <c r="E295">
        <v>740010</v>
      </c>
      <c r="F295" t="s">
        <v>1640</v>
      </c>
    </row>
    <row r="296" spans="1:6" s="49" customFormat="1">
      <c r="A296">
        <v>741101</v>
      </c>
      <c r="B296" t="s">
        <v>952</v>
      </c>
      <c r="C296">
        <v>740000</v>
      </c>
      <c r="D296" t="s">
        <v>1609</v>
      </c>
      <c r="E296">
        <v>740011</v>
      </c>
      <c r="F296" t="s">
        <v>1630</v>
      </c>
    </row>
    <row r="297" spans="1:6" s="49" customFormat="1">
      <c r="A297">
        <v>741102</v>
      </c>
      <c r="B297" t="s">
        <v>953</v>
      </c>
      <c r="C297">
        <v>740000</v>
      </c>
      <c r="D297" t="s">
        <v>1609</v>
      </c>
      <c r="E297">
        <v>740011</v>
      </c>
      <c r="F297" t="s">
        <v>1630</v>
      </c>
    </row>
    <row r="298" spans="1:6" s="49" customFormat="1">
      <c r="A298">
        <v>741121</v>
      </c>
      <c r="B298" t="s">
        <v>954</v>
      </c>
      <c r="C298">
        <v>740000</v>
      </c>
      <c r="D298" t="s">
        <v>1609</v>
      </c>
      <c r="E298">
        <v>740012</v>
      </c>
      <c r="F298" t="s">
        <v>1641</v>
      </c>
    </row>
    <row r="299" spans="1:6" s="49" customFormat="1">
      <c r="A299">
        <v>741141</v>
      </c>
      <c r="B299" t="s">
        <v>955</v>
      </c>
      <c r="C299">
        <v>740000</v>
      </c>
      <c r="D299" t="s">
        <v>1609</v>
      </c>
      <c r="E299">
        <v>740012</v>
      </c>
      <c r="F299" t="s">
        <v>1641</v>
      </c>
    </row>
    <row r="300" spans="1:6" s="49" customFormat="1">
      <c r="A300">
        <v>741145</v>
      </c>
      <c r="B300" t="s">
        <v>956</v>
      </c>
      <c r="C300">
        <v>740000</v>
      </c>
      <c r="D300" t="s">
        <v>1609</v>
      </c>
      <c r="E300">
        <v>740012</v>
      </c>
      <c r="F300" t="s">
        <v>1641</v>
      </c>
    </row>
    <row r="301" spans="1:6" s="49" customFormat="1">
      <c r="A301">
        <v>741151</v>
      </c>
      <c r="B301" t="s">
        <v>957</v>
      </c>
      <c r="C301">
        <v>740000</v>
      </c>
      <c r="D301" t="s">
        <v>1609</v>
      </c>
      <c r="E301">
        <v>740012</v>
      </c>
      <c r="F301" t="s">
        <v>1641</v>
      </c>
    </row>
    <row r="302" spans="1:6" s="49" customFormat="1">
      <c r="A302">
        <v>741152</v>
      </c>
      <c r="B302" t="s">
        <v>958</v>
      </c>
      <c r="C302">
        <v>740000</v>
      </c>
      <c r="D302" t="s">
        <v>1609</v>
      </c>
      <c r="E302">
        <v>740012</v>
      </c>
      <c r="F302" t="s">
        <v>1641</v>
      </c>
    </row>
    <row r="303" spans="1:6" s="49" customFormat="1">
      <c r="A303">
        <v>741153</v>
      </c>
      <c r="B303" t="s">
        <v>959</v>
      </c>
      <c r="C303">
        <v>740000</v>
      </c>
      <c r="D303" t="s">
        <v>1609</v>
      </c>
      <c r="E303">
        <v>740012</v>
      </c>
      <c r="F303" t="s">
        <v>1641</v>
      </c>
    </row>
    <row r="304" spans="1:6" s="49" customFormat="1">
      <c r="A304">
        <v>741161</v>
      </c>
      <c r="B304" t="s">
        <v>1503</v>
      </c>
      <c r="C304">
        <v>740000</v>
      </c>
      <c r="D304" t="s">
        <v>1609</v>
      </c>
      <c r="E304">
        <v>740011</v>
      </c>
      <c r="F304" t="s">
        <v>1630</v>
      </c>
    </row>
    <row r="305" spans="1:6" s="49" customFormat="1">
      <c r="A305">
        <v>741165</v>
      </c>
      <c r="B305" t="s">
        <v>961</v>
      </c>
      <c r="C305">
        <v>740000</v>
      </c>
      <c r="D305" t="s">
        <v>1609</v>
      </c>
      <c r="E305">
        <v>740012</v>
      </c>
      <c r="F305" t="s">
        <v>1641</v>
      </c>
    </row>
    <row r="306" spans="1:6" s="49" customFormat="1">
      <c r="A306">
        <v>741172</v>
      </c>
      <c r="B306" t="s">
        <v>962</v>
      </c>
      <c r="C306">
        <v>740000</v>
      </c>
      <c r="D306" t="s">
        <v>1609</v>
      </c>
      <c r="E306">
        <v>740012</v>
      </c>
      <c r="F306" t="s">
        <v>1641</v>
      </c>
    </row>
    <row r="307" spans="1:6" s="49" customFormat="1">
      <c r="A307">
        <v>741173</v>
      </c>
      <c r="B307" t="s">
        <v>963</v>
      </c>
      <c r="C307">
        <v>740000</v>
      </c>
      <c r="D307" t="s">
        <v>1609</v>
      </c>
      <c r="E307">
        <v>740012</v>
      </c>
      <c r="F307" t="s">
        <v>1641</v>
      </c>
    </row>
    <row r="308" spans="1:6" s="49" customFormat="1">
      <c r="A308">
        <v>741178</v>
      </c>
      <c r="B308" t="s">
        <v>964</v>
      </c>
      <c r="C308">
        <v>740000</v>
      </c>
      <c r="D308" t="s">
        <v>1609</v>
      </c>
      <c r="E308">
        <v>740012</v>
      </c>
      <c r="F308" t="s">
        <v>1641</v>
      </c>
    </row>
    <row r="309" spans="1:6" s="49" customFormat="1">
      <c r="A309">
        <v>741179</v>
      </c>
      <c r="B309" t="s">
        <v>965</v>
      </c>
      <c r="C309">
        <v>740000</v>
      </c>
      <c r="D309" t="s">
        <v>1609</v>
      </c>
      <c r="E309">
        <v>740012</v>
      </c>
      <c r="F309" t="s">
        <v>1641</v>
      </c>
    </row>
    <row r="310" spans="1:6" s="49" customFormat="1">
      <c r="A310">
        <v>741181</v>
      </c>
      <c r="B310" t="s">
        <v>1502</v>
      </c>
      <c r="C310">
        <v>740000</v>
      </c>
      <c r="D310" t="s">
        <v>1609</v>
      </c>
      <c r="E310">
        <v>740012</v>
      </c>
      <c r="F310" t="s">
        <v>1641</v>
      </c>
    </row>
    <row r="311" spans="1:6" s="49" customFormat="1">
      <c r="A311">
        <v>741182</v>
      </c>
      <c r="B311" t="s">
        <v>967</v>
      </c>
      <c r="C311">
        <v>740000</v>
      </c>
      <c r="D311" t="s">
        <v>1609</v>
      </c>
      <c r="E311">
        <v>740011</v>
      </c>
      <c r="F311" t="s">
        <v>1630</v>
      </c>
    </row>
    <row r="312" spans="1:6" s="49" customFormat="1">
      <c r="A312">
        <v>741191</v>
      </c>
      <c r="B312" t="s">
        <v>969</v>
      </c>
      <c r="C312">
        <v>740000</v>
      </c>
      <c r="D312" t="s">
        <v>1609</v>
      </c>
      <c r="E312">
        <v>740012</v>
      </c>
      <c r="F312" t="s">
        <v>1641</v>
      </c>
    </row>
    <row r="313" spans="1:6" s="49" customFormat="1">
      <c r="A313">
        <v>741251</v>
      </c>
      <c r="B313" t="s">
        <v>970</v>
      </c>
      <c r="C313">
        <v>740000</v>
      </c>
      <c r="D313" t="s">
        <v>1609</v>
      </c>
      <c r="E313">
        <v>740012</v>
      </c>
      <c r="F313" t="s">
        <v>1641</v>
      </c>
    </row>
    <row r="314" spans="1:6" s="49" customFormat="1">
      <c r="A314">
        <v>741252</v>
      </c>
      <c r="B314" t="s">
        <v>1273</v>
      </c>
      <c r="C314">
        <v>740000</v>
      </c>
      <c r="D314" t="s">
        <v>1609</v>
      </c>
      <c r="E314">
        <v>740012</v>
      </c>
      <c r="F314" t="s">
        <v>1641</v>
      </c>
    </row>
    <row r="315" spans="1:6" s="49" customFormat="1">
      <c r="A315">
        <v>741255</v>
      </c>
      <c r="B315" t="s">
        <v>972</v>
      </c>
      <c r="C315">
        <v>740000</v>
      </c>
      <c r="D315" t="s">
        <v>1609</v>
      </c>
      <c r="E315">
        <v>740012</v>
      </c>
      <c r="F315" t="s">
        <v>1641</v>
      </c>
    </row>
    <row r="316" spans="1:6" s="49" customFormat="1">
      <c r="A316">
        <v>741271</v>
      </c>
      <c r="B316" t="s">
        <v>973</v>
      </c>
      <c r="C316">
        <v>740000</v>
      </c>
      <c r="D316" t="s">
        <v>1609</v>
      </c>
      <c r="E316">
        <v>740011</v>
      </c>
      <c r="F316" t="s">
        <v>1630</v>
      </c>
    </row>
    <row r="317" spans="1:6" s="49" customFormat="1">
      <c r="A317">
        <v>741272</v>
      </c>
      <c r="B317" t="s">
        <v>974</v>
      </c>
      <c r="C317">
        <v>740000</v>
      </c>
      <c r="D317" t="s">
        <v>1609</v>
      </c>
      <c r="E317">
        <v>740011</v>
      </c>
      <c r="F317" t="s">
        <v>1630</v>
      </c>
    </row>
    <row r="318" spans="1:6" s="49" customFormat="1">
      <c r="A318">
        <v>741281</v>
      </c>
      <c r="B318" t="s">
        <v>975</v>
      </c>
      <c r="C318">
        <v>740000</v>
      </c>
      <c r="D318" t="s">
        <v>1609</v>
      </c>
      <c r="E318">
        <v>740011</v>
      </c>
      <c r="F318" t="s">
        <v>1630</v>
      </c>
    </row>
    <row r="319" spans="1:6" s="49" customFormat="1">
      <c r="A319">
        <v>741282</v>
      </c>
      <c r="B319" t="s">
        <v>976</v>
      </c>
      <c r="C319">
        <v>740000</v>
      </c>
      <c r="D319" t="s">
        <v>1609</v>
      </c>
      <c r="E319">
        <v>740011</v>
      </c>
      <c r="F319" t="s">
        <v>1630</v>
      </c>
    </row>
    <row r="320" spans="1:6" s="49" customFormat="1">
      <c r="A320">
        <v>741301</v>
      </c>
      <c r="B320" t="s">
        <v>977</v>
      </c>
      <c r="C320">
        <v>740000</v>
      </c>
      <c r="D320" t="s">
        <v>1609</v>
      </c>
      <c r="E320">
        <v>740011</v>
      </c>
      <c r="F320" t="s">
        <v>1630</v>
      </c>
    </row>
    <row r="321" spans="1:6" s="49" customFormat="1">
      <c r="A321">
        <v>741302</v>
      </c>
      <c r="B321" t="s">
        <v>1795</v>
      </c>
      <c r="C321">
        <v>740000</v>
      </c>
      <c r="D321" t="s">
        <v>1609</v>
      </c>
      <c r="E321">
        <v>740011</v>
      </c>
      <c r="F321" t="s">
        <v>1630</v>
      </c>
    </row>
    <row r="322" spans="1:6" s="49" customFormat="1">
      <c r="A322">
        <v>741303</v>
      </c>
      <c r="B322" t="s">
        <v>1796</v>
      </c>
      <c r="C322">
        <v>740000</v>
      </c>
      <c r="D322" t="s">
        <v>1609</v>
      </c>
      <c r="E322">
        <v>740011</v>
      </c>
      <c r="F322" t="s">
        <v>1630</v>
      </c>
    </row>
    <row r="323" spans="1:6" s="49" customFormat="1">
      <c r="A323">
        <v>741304</v>
      </c>
      <c r="B323" t="s">
        <v>1797</v>
      </c>
      <c r="C323">
        <v>740000</v>
      </c>
      <c r="D323" t="s">
        <v>1609</v>
      </c>
      <c r="E323">
        <v>740011</v>
      </c>
      <c r="F323" t="s">
        <v>1630</v>
      </c>
    </row>
    <row r="324" spans="1:6" s="49" customFormat="1">
      <c r="A324">
        <v>741321</v>
      </c>
      <c r="B324" t="s">
        <v>979</v>
      </c>
      <c r="C324">
        <v>740000</v>
      </c>
      <c r="D324" t="s">
        <v>1609</v>
      </c>
      <c r="E324">
        <v>740012</v>
      </c>
      <c r="F324" t="s">
        <v>1641</v>
      </c>
    </row>
    <row r="325" spans="1:6" s="49" customFormat="1">
      <c r="A325">
        <v>741331</v>
      </c>
      <c r="B325" t="s">
        <v>980</v>
      </c>
      <c r="C325">
        <v>740000</v>
      </c>
      <c r="D325" t="s">
        <v>1609</v>
      </c>
      <c r="E325">
        <v>740012</v>
      </c>
      <c r="F325" t="s">
        <v>1641</v>
      </c>
    </row>
    <row r="326" spans="1:6" s="49" customFormat="1">
      <c r="A326">
        <v>741332</v>
      </c>
      <c r="B326" t="s">
        <v>981</v>
      </c>
      <c r="C326">
        <v>740000</v>
      </c>
      <c r="D326" t="s">
        <v>1609</v>
      </c>
      <c r="E326">
        <v>740012</v>
      </c>
      <c r="F326" t="s">
        <v>1641</v>
      </c>
    </row>
    <row r="327" spans="1:6" s="49" customFormat="1">
      <c r="A327">
        <v>741333</v>
      </c>
      <c r="B327" t="s">
        <v>982</v>
      </c>
      <c r="C327">
        <v>740000</v>
      </c>
      <c r="D327" t="s">
        <v>1609</v>
      </c>
      <c r="E327">
        <v>740012</v>
      </c>
      <c r="F327" t="s">
        <v>1641</v>
      </c>
    </row>
    <row r="328" spans="1:6" s="49" customFormat="1">
      <c r="A328">
        <v>741334</v>
      </c>
      <c r="B328" t="s">
        <v>983</v>
      </c>
      <c r="C328">
        <v>740000</v>
      </c>
      <c r="D328" t="s">
        <v>1609</v>
      </c>
      <c r="E328">
        <v>740012</v>
      </c>
      <c r="F328" t="s">
        <v>1641</v>
      </c>
    </row>
    <row r="329" spans="1:6" s="49" customFormat="1">
      <c r="A329">
        <v>741335</v>
      </c>
      <c r="B329" t="s">
        <v>984</v>
      </c>
      <c r="C329">
        <v>740000</v>
      </c>
      <c r="D329" t="s">
        <v>1609</v>
      </c>
      <c r="E329">
        <v>740012</v>
      </c>
      <c r="F329" t="s">
        <v>1641</v>
      </c>
    </row>
    <row r="330" spans="1:6" s="49" customFormat="1">
      <c r="A330">
        <v>741361</v>
      </c>
      <c r="B330" t="s">
        <v>985</v>
      </c>
      <c r="C330">
        <v>740000</v>
      </c>
      <c r="D330" t="s">
        <v>1609</v>
      </c>
      <c r="E330">
        <v>740012</v>
      </c>
      <c r="F330" t="s">
        <v>1641</v>
      </c>
    </row>
    <row r="331" spans="1:6" s="49" customFormat="1">
      <c r="A331">
        <v>741365</v>
      </c>
      <c r="B331" t="s">
        <v>986</v>
      </c>
      <c r="C331">
        <v>740000</v>
      </c>
      <c r="D331" t="s">
        <v>1609</v>
      </c>
      <c r="E331">
        <v>740011</v>
      </c>
      <c r="F331" t="s">
        <v>1630</v>
      </c>
    </row>
    <row r="332" spans="1:6" s="49" customFormat="1">
      <c r="A332">
        <v>741366</v>
      </c>
      <c r="B332" t="s">
        <v>987</v>
      </c>
      <c r="C332">
        <v>740000</v>
      </c>
      <c r="D332" t="s">
        <v>1609</v>
      </c>
      <c r="E332">
        <v>740011</v>
      </c>
      <c r="F332" t="s">
        <v>1630</v>
      </c>
    </row>
    <row r="333" spans="1:6" s="49" customFormat="1">
      <c r="A333">
        <v>741367</v>
      </c>
      <c r="B333" t="s">
        <v>988</v>
      </c>
      <c r="C333">
        <v>740000</v>
      </c>
      <c r="D333" t="s">
        <v>1609</v>
      </c>
      <c r="E333">
        <v>740012</v>
      </c>
      <c r="F333" t="s">
        <v>1641</v>
      </c>
    </row>
    <row r="334" spans="1:6" s="49" customFormat="1">
      <c r="A334">
        <v>741368</v>
      </c>
      <c r="B334" t="s">
        <v>989</v>
      </c>
      <c r="C334">
        <v>740000</v>
      </c>
      <c r="D334" t="s">
        <v>1609</v>
      </c>
      <c r="E334">
        <v>740011</v>
      </c>
      <c r="F334" t="s">
        <v>1630</v>
      </c>
    </row>
    <row r="335" spans="1:6" s="49" customFormat="1">
      <c r="A335">
        <v>741371</v>
      </c>
      <c r="B335" t="s">
        <v>990</v>
      </c>
      <c r="C335">
        <v>740000</v>
      </c>
      <c r="D335" t="s">
        <v>1609</v>
      </c>
      <c r="E335">
        <v>740012</v>
      </c>
      <c r="F335" t="s">
        <v>1641</v>
      </c>
    </row>
    <row r="336" spans="1:6" s="49" customFormat="1">
      <c r="A336">
        <v>741372</v>
      </c>
      <c r="B336" t="s">
        <v>991</v>
      </c>
      <c r="C336">
        <v>740000</v>
      </c>
      <c r="D336" t="s">
        <v>1609</v>
      </c>
      <c r="E336">
        <v>740011</v>
      </c>
      <c r="F336" t="s">
        <v>1630</v>
      </c>
    </row>
    <row r="337" spans="1:6" s="49" customFormat="1">
      <c r="A337">
        <v>741375</v>
      </c>
      <c r="B337" t="s">
        <v>992</v>
      </c>
      <c r="C337">
        <v>740000</v>
      </c>
      <c r="D337" t="s">
        <v>1609</v>
      </c>
      <c r="E337">
        <v>740012</v>
      </c>
      <c r="F337" t="s">
        <v>1641</v>
      </c>
    </row>
    <row r="338" spans="1:6" s="49" customFormat="1">
      <c r="A338">
        <v>741376</v>
      </c>
      <c r="B338" t="s">
        <v>993</v>
      </c>
      <c r="C338">
        <v>740000</v>
      </c>
      <c r="D338" t="s">
        <v>1609</v>
      </c>
      <c r="E338">
        <v>740012</v>
      </c>
      <c r="F338" t="s">
        <v>1641</v>
      </c>
    </row>
    <row r="339" spans="1:6" s="49" customFormat="1">
      <c r="A339">
        <v>741381</v>
      </c>
      <c r="B339" t="s">
        <v>994</v>
      </c>
      <c r="C339">
        <v>740000</v>
      </c>
      <c r="D339" t="s">
        <v>1609</v>
      </c>
      <c r="E339">
        <v>740011</v>
      </c>
      <c r="F339" t="s">
        <v>1630</v>
      </c>
    </row>
    <row r="340" spans="1:6" s="49" customFormat="1">
      <c r="A340">
        <v>741382</v>
      </c>
      <c r="B340" t="s">
        <v>995</v>
      </c>
      <c r="C340">
        <v>740000</v>
      </c>
      <c r="D340" t="s">
        <v>1609</v>
      </c>
      <c r="E340">
        <v>740011</v>
      </c>
      <c r="F340" t="s">
        <v>1630</v>
      </c>
    </row>
    <row r="341" spans="1:6" s="49" customFormat="1">
      <c r="A341">
        <v>741383</v>
      </c>
      <c r="B341" t="s">
        <v>996</v>
      </c>
      <c r="C341">
        <v>740000</v>
      </c>
      <c r="D341" t="s">
        <v>1609</v>
      </c>
      <c r="E341">
        <v>740011</v>
      </c>
      <c r="F341" t="s">
        <v>1630</v>
      </c>
    </row>
    <row r="342" spans="1:6" s="49" customFormat="1">
      <c r="A342">
        <v>741385</v>
      </c>
      <c r="B342" t="s">
        <v>997</v>
      </c>
      <c r="C342">
        <v>740000</v>
      </c>
      <c r="D342" t="s">
        <v>1609</v>
      </c>
      <c r="E342">
        <v>740011</v>
      </c>
      <c r="F342" t="s">
        <v>1630</v>
      </c>
    </row>
    <row r="343" spans="1:6" s="49" customFormat="1">
      <c r="A343">
        <v>741391</v>
      </c>
      <c r="B343" t="s">
        <v>998</v>
      </c>
      <c r="C343">
        <v>740000</v>
      </c>
      <c r="D343" t="s">
        <v>1609</v>
      </c>
      <c r="E343">
        <v>740011</v>
      </c>
      <c r="F343" t="s">
        <v>1630</v>
      </c>
    </row>
    <row r="344" spans="1:6" s="49" customFormat="1">
      <c r="A344">
        <v>741392</v>
      </c>
      <c r="B344" t="s">
        <v>999</v>
      </c>
      <c r="C344">
        <v>740000</v>
      </c>
      <c r="D344" t="s">
        <v>1609</v>
      </c>
      <c r="E344">
        <v>740011</v>
      </c>
      <c r="F344" t="s">
        <v>1630</v>
      </c>
    </row>
    <row r="345" spans="1:6" s="49" customFormat="1">
      <c r="A345">
        <v>741393</v>
      </c>
      <c r="B345" t="s">
        <v>1000</v>
      </c>
      <c r="C345">
        <v>740000</v>
      </c>
      <c r="D345" t="s">
        <v>1609</v>
      </c>
      <c r="E345">
        <v>740011</v>
      </c>
      <c r="F345" t="s">
        <v>1630</v>
      </c>
    </row>
    <row r="346" spans="1:6" s="49" customFormat="1">
      <c r="A346">
        <v>741395</v>
      </c>
      <c r="B346" t="s">
        <v>1001</v>
      </c>
      <c r="C346">
        <v>740000</v>
      </c>
      <c r="D346" t="s">
        <v>1609</v>
      </c>
      <c r="E346">
        <v>740011</v>
      </c>
      <c r="F346" t="s">
        <v>1630</v>
      </c>
    </row>
    <row r="347" spans="1:6" s="49" customFormat="1">
      <c r="A347">
        <v>741396</v>
      </c>
      <c r="B347" t="s">
        <v>1002</v>
      </c>
      <c r="C347">
        <v>740000</v>
      </c>
      <c r="D347" t="s">
        <v>1609</v>
      </c>
      <c r="E347">
        <v>740011</v>
      </c>
      <c r="F347" t="s">
        <v>1630</v>
      </c>
    </row>
    <row r="348" spans="1:6" s="49" customFormat="1">
      <c r="A348">
        <v>741401</v>
      </c>
      <c r="B348" t="s">
        <v>1003</v>
      </c>
      <c r="C348">
        <v>740000</v>
      </c>
      <c r="D348" t="s">
        <v>1609</v>
      </c>
      <c r="E348">
        <v>740012</v>
      </c>
      <c r="F348" t="s">
        <v>1641</v>
      </c>
    </row>
    <row r="349" spans="1:6" s="49" customFormat="1">
      <c r="A349">
        <v>741420</v>
      </c>
      <c r="B349" t="s">
        <v>1234</v>
      </c>
      <c r="C349">
        <v>740000</v>
      </c>
      <c r="D349" t="s">
        <v>1609</v>
      </c>
      <c r="E349">
        <v>740011</v>
      </c>
      <c r="F349" t="s">
        <v>1630</v>
      </c>
    </row>
    <row r="350" spans="1:6" s="49" customFormat="1">
      <c r="A350">
        <v>741421</v>
      </c>
      <c r="B350" t="s">
        <v>1509</v>
      </c>
      <c r="C350">
        <v>740000</v>
      </c>
      <c r="D350" t="s">
        <v>1609</v>
      </c>
      <c r="E350">
        <v>740012</v>
      </c>
      <c r="F350" t="s">
        <v>1641</v>
      </c>
    </row>
    <row r="351" spans="1:6" s="49" customFormat="1">
      <c r="A351">
        <v>741422</v>
      </c>
      <c r="B351" t="s">
        <v>1006</v>
      </c>
      <c r="C351">
        <v>740000</v>
      </c>
      <c r="D351" t="s">
        <v>1609</v>
      </c>
      <c r="E351">
        <v>740011</v>
      </c>
      <c r="F351" t="s">
        <v>1630</v>
      </c>
    </row>
    <row r="352" spans="1:6" s="49" customFormat="1">
      <c r="A352">
        <v>741501</v>
      </c>
      <c r="B352" t="s">
        <v>1007</v>
      </c>
      <c r="C352">
        <v>740000</v>
      </c>
      <c r="D352" t="s">
        <v>1609</v>
      </c>
      <c r="E352">
        <v>740013</v>
      </c>
      <c r="F352" t="s">
        <v>1642</v>
      </c>
    </row>
    <row r="353" spans="1:6" s="49" customFormat="1">
      <c r="A353">
        <v>741502</v>
      </c>
      <c r="B353" t="s">
        <v>1008</v>
      </c>
      <c r="C353">
        <v>740000</v>
      </c>
      <c r="D353" t="s">
        <v>1609</v>
      </c>
      <c r="E353">
        <v>740013</v>
      </c>
      <c r="F353" t="s">
        <v>1642</v>
      </c>
    </row>
    <row r="354" spans="1:6" s="49" customFormat="1">
      <c r="A354">
        <v>741503</v>
      </c>
      <c r="B354" t="s">
        <v>1798</v>
      </c>
      <c r="C354">
        <v>740000</v>
      </c>
      <c r="D354" t="s">
        <v>1609</v>
      </c>
      <c r="E354">
        <v>740013</v>
      </c>
      <c r="F354" t="s">
        <v>1642</v>
      </c>
    </row>
    <row r="355" spans="1:6" s="49" customFormat="1">
      <c r="A355">
        <v>741504</v>
      </c>
      <c r="B355" t="s">
        <v>1010</v>
      </c>
      <c r="C355">
        <v>740000</v>
      </c>
      <c r="D355" t="s">
        <v>1609</v>
      </c>
      <c r="E355">
        <v>740013</v>
      </c>
      <c r="F355" t="s">
        <v>1642</v>
      </c>
    </row>
    <row r="356" spans="1:6" s="49" customFormat="1">
      <c r="A356">
        <v>741505</v>
      </c>
      <c r="B356" t="s">
        <v>1011</v>
      </c>
      <c r="C356">
        <v>740000</v>
      </c>
      <c r="D356" t="s">
        <v>1609</v>
      </c>
      <c r="E356">
        <v>740013</v>
      </c>
      <c r="F356" t="s">
        <v>1642</v>
      </c>
    </row>
    <row r="357" spans="1:6" s="49" customFormat="1">
      <c r="A357">
        <v>741506</v>
      </c>
      <c r="B357" t="s">
        <v>1012</v>
      </c>
      <c r="C357">
        <v>740000</v>
      </c>
      <c r="D357" t="s">
        <v>1609</v>
      </c>
      <c r="E357">
        <v>740013</v>
      </c>
      <c r="F357" t="s">
        <v>1642</v>
      </c>
    </row>
    <row r="358" spans="1:6" s="49" customFormat="1">
      <c r="A358">
        <v>741507</v>
      </c>
      <c r="B358" t="s">
        <v>1013</v>
      </c>
      <c r="C358">
        <v>740000</v>
      </c>
      <c r="D358" t="s">
        <v>1609</v>
      </c>
      <c r="E358">
        <v>740013</v>
      </c>
      <c r="F358" t="s">
        <v>1642</v>
      </c>
    </row>
    <row r="359" spans="1:6" s="49" customFormat="1">
      <c r="A359">
        <v>741508</v>
      </c>
      <c r="B359" t="s">
        <v>1014</v>
      </c>
      <c r="C359">
        <v>740000</v>
      </c>
      <c r="D359" t="s">
        <v>1609</v>
      </c>
      <c r="E359">
        <v>740013</v>
      </c>
      <c r="F359" t="s">
        <v>1642</v>
      </c>
    </row>
    <row r="360" spans="1:6" s="49" customFormat="1">
      <c r="A360">
        <v>741509</v>
      </c>
      <c r="B360" t="s">
        <v>1015</v>
      </c>
      <c r="C360">
        <v>740000</v>
      </c>
      <c r="D360" t="s">
        <v>1609</v>
      </c>
      <c r="E360">
        <v>740013</v>
      </c>
      <c r="F360" t="s">
        <v>1642</v>
      </c>
    </row>
    <row r="361" spans="1:6" s="49" customFormat="1">
      <c r="A361">
        <v>741521</v>
      </c>
      <c r="B361" t="s">
        <v>1016</v>
      </c>
      <c r="C361">
        <v>740000</v>
      </c>
      <c r="D361" t="s">
        <v>1609</v>
      </c>
      <c r="E361">
        <v>740013</v>
      </c>
      <c r="F361" t="s">
        <v>1642</v>
      </c>
    </row>
    <row r="362" spans="1:6" s="49" customFormat="1">
      <c r="A362">
        <v>741531</v>
      </c>
      <c r="B362" t="s">
        <v>1018</v>
      </c>
      <c r="C362">
        <v>740000</v>
      </c>
      <c r="D362" t="s">
        <v>1609</v>
      </c>
      <c r="E362">
        <v>740014</v>
      </c>
      <c r="F362" t="s">
        <v>1643</v>
      </c>
    </row>
    <row r="363" spans="1:6" s="49" customFormat="1">
      <c r="A363">
        <v>741540</v>
      </c>
      <c r="B363" t="s">
        <v>1019</v>
      </c>
      <c r="C363">
        <v>740000</v>
      </c>
      <c r="D363" t="s">
        <v>1609</v>
      </c>
      <c r="E363">
        <v>740014</v>
      </c>
      <c r="F363" t="s">
        <v>1643</v>
      </c>
    </row>
    <row r="364" spans="1:6" s="49" customFormat="1">
      <c r="A364">
        <v>741541</v>
      </c>
      <c r="B364" t="s">
        <v>1020</v>
      </c>
      <c r="C364">
        <v>740000</v>
      </c>
      <c r="D364" t="s">
        <v>1609</v>
      </c>
      <c r="E364">
        <v>740014</v>
      </c>
      <c r="F364" t="s">
        <v>1643</v>
      </c>
    </row>
    <row r="365" spans="1:6" s="49" customFormat="1">
      <c r="A365">
        <v>741542</v>
      </c>
      <c r="B365" t="s">
        <v>1021</v>
      </c>
      <c r="C365">
        <v>740000</v>
      </c>
      <c r="D365" t="s">
        <v>1609</v>
      </c>
      <c r="E365">
        <v>740014</v>
      </c>
      <c r="F365" t="s">
        <v>1643</v>
      </c>
    </row>
    <row r="366" spans="1:6" s="49" customFormat="1">
      <c r="A366">
        <v>741543</v>
      </c>
      <c r="B366" t="s">
        <v>1022</v>
      </c>
      <c r="C366">
        <v>740000</v>
      </c>
      <c r="D366" t="s">
        <v>1609</v>
      </c>
      <c r="E366">
        <v>740014</v>
      </c>
      <c r="F366" t="s">
        <v>1643</v>
      </c>
    </row>
    <row r="367" spans="1:6" s="49" customFormat="1">
      <c r="A367">
        <v>741550</v>
      </c>
      <c r="B367" t="s">
        <v>1024</v>
      </c>
      <c r="C367">
        <v>740000</v>
      </c>
      <c r="D367" t="s">
        <v>1609</v>
      </c>
      <c r="E367">
        <v>740014</v>
      </c>
      <c r="F367" t="s">
        <v>1643</v>
      </c>
    </row>
    <row r="368" spans="1:6" s="49" customFormat="1">
      <c r="A368">
        <v>741560</v>
      </c>
      <c r="B368" t="s">
        <v>1025</v>
      </c>
      <c r="C368">
        <v>740000</v>
      </c>
      <c r="D368" t="s">
        <v>1609</v>
      </c>
      <c r="E368">
        <v>740014</v>
      </c>
      <c r="F368" t="s">
        <v>1643</v>
      </c>
    </row>
    <row r="369" spans="1:6" s="49" customFormat="1">
      <c r="A369">
        <v>741565</v>
      </c>
      <c r="B369" t="s">
        <v>1026</v>
      </c>
      <c r="C369">
        <v>740000</v>
      </c>
      <c r="D369" t="s">
        <v>1609</v>
      </c>
      <c r="E369">
        <v>740014</v>
      </c>
      <c r="F369" t="s">
        <v>1643</v>
      </c>
    </row>
    <row r="370" spans="1:6" s="49" customFormat="1">
      <c r="A370">
        <v>741580</v>
      </c>
      <c r="B370" t="s">
        <v>1799</v>
      </c>
      <c r="C370">
        <v>740000</v>
      </c>
      <c r="D370" t="s">
        <v>1609</v>
      </c>
      <c r="E370">
        <v>740016</v>
      </c>
      <c r="F370" t="s">
        <v>1644</v>
      </c>
    </row>
    <row r="371" spans="1:6" s="49" customFormat="1">
      <c r="A371">
        <v>741581</v>
      </c>
      <c r="B371" t="s">
        <v>1030</v>
      </c>
      <c r="C371">
        <v>740000</v>
      </c>
      <c r="D371" t="s">
        <v>1609</v>
      </c>
      <c r="E371">
        <v>740014</v>
      </c>
      <c r="F371" t="s">
        <v>1643</v>
      </c>
    </row>
    <row r="372" spans="1:6" s="49" customFormat="1">
      <c r="A372">
        <v>741582</v>
      </c>
      <c r="B372" t="s">
        <v>1031</v>
      </c>
      <c r="C372">
        <v>740000</v>
      </c>
      <c r="D372" t="s">
        <v>1609</v>
      </c>
      <c r="E372">
        <v>740014</v>
      </c>
      <c r="F372" t="s">
        <v>1643</v>
      </c>
    </row>
    <row r="373" spans="1:6" s="49" customFormat="1">
      <c r="A373">
        <v>741610</v>
      </c>
      <c r="B373" t="s">
        <v>1032</v>
      </c>
      <c r="C373">
        <v>740000</v>
      </c>
      <c r="D373" t="s">
        <v>1609</v>
      </c>
      <c r="E373">
        <v>740014</v>
      </c>
      <c r="F373" t="s">
        <v>1643</v>
      </c>
    </row>
    <row r="374" spans="1:6" s="49" customFormat="1">
      <c r="A374">
        <v>741620</v>
      </c>
      <c r="B374" t="s">
        <v>1033</v>
      </c>
      <c r="C374">
        <v>740000</v>
      </c>
      <c r="D374" t="s">
        <v>1609</v>
      </c>
      <c r="E374">
        <v>740014</v>
      </c>
      <c r="F374" t="s">
        <v>1643</v>
      </c>
    </row>
    <row r="375" spans="1:6" s="49" customFormat="1">
      <c r="A375">
        <v>741721</v>
      </c>
      <c r="B375" t="s">
        <v>1038</v>
      </c>
      <c r="C375">
        <v>740000</v>
      </c>
      <c r="D375" t="s">
        <v>1609</v>
      </c>
      <c r="E375">
        <v>740015</v>
      </c>
      <c r="F375" t="s">
        <v>1645</v>
      </c>
    </row>
    <row r="376" spans="1:6" s="49" customFormat="1">
      <c r="A376">
        <v>741731</v>
      </c>
      <c r="B376" t="s">
        <v>1039</v>
      </c>
      <c r="C376">
        <v>740000</v>
      </c>
      <c r="D376" t="s">
        <v>1609</v>
      </c>
      <c r="E376">
        <v>740015</v>
      </c>
      <c r="F376" t="s">
        <v>1645</v>
      </c>
    </row>
    <row r="377" spans="1:6" s="49" customFormat="1">
      <c r="A377">
        <v>741741</v>
      </c>
      <c r="B377" t="s">
        <v>1040</v>
      </c>
      <c r="C377">
        <v>740000</v>
      </c>
      <c r="D377" t="s">
        <v>1609</v>
      </c>
      <c r="E377">
        <v>740015</v>
      </c>
      <c r="F377" t="s">
        <v>1645</v>
      </c>
    </row>
    <row r="378" spans="1:6" s="49" customFormat="1">
      <c r="A378">
        <v>741742</v>
      </c>
      <c r="B378" t="s">
        <v>1800</v>
      </c>
      <c r="C378">
        <v>740000</v>
      </c>
      <c r="D378" t="s">
        <v>1609</v>
      </c>
      <c r="E378">
        <v>740015</v>
      </c>
      <c r="F378" t="s">
        <v>1645</v>
      </c>
    </row>
    <row r="379" spans="1:6" s="49" customFormat="1">
      <c r="A379">
        <v>741751</v>
      </c>
      <c r="B379" t="s">
        <v>1505</v>
      </c>
      <c r="C379">
        <v>740000</v>
      </c>
      <c r="D379" t="s">
        <v>1609</v>
      </c>
      <c r="E379">
        <v>740015</v>
      </c>
      <c r="F379" t="s">
        <v>1645</v>
      </c>
    </row>
    <row r="380" spans="1:6" s="49" customFormat="1">
      <c r="A380">
        <v>741811</v>
      </c>
      <c r="B380" t="s">
        <v>1041</v>
      </c>
      <c r="C380">
        <v>740000</v>
      </c>
      <c r="D380" t="s">
        <v>1609</v>
      </c>
      <c r="E380">
        <v>740015</v>
      </c>
      <c r="F380" t="s">
        <v>1645</v>
      </c>
    </row>
    <row r="381" spans="1:6" s="49" customFormat="1">
      <c r="A381">
        <v>741821</v>
      </c>
      <c r="B381" t="s">
        <v>1042</v>
      </c>
      <c r="C381">
        <v>740000</v>
      </c>
      <c r="D381" t="s">
        <v>1609</v>
      </c>
      <c r="E381">
        <v>740015</v>
      </c>
      <c r="F381" t="s">
        <v>1645</v>
      </c>
    </row>
    <row r="382" spans="1:6" s="49" customFormat="1">
      <c r="A382">
        <v>741831</v>
      </c>
      <c r="B382" t="s">
        <v>1646</v>
      </c>
      <c r="C382">
        <v>740000</v>
      </c>
      <c r="D382" t="s">
        <v>1609</v>
      </c>
      <c r="E382">
        <v>740015</v>
      </c>
      <c r="F382" t="s">
        <v>1645</v>
      </c>
    </row>
    <row r="383" spans="1:6" s="49" customFormat="1">
      <c r="A383">
        <v>741871</v>
      </c>
      <c r="B383" t="s">
        <v>1045</v>
      </c>
      <c r="C383">
        <v>740000</v>
      </c>
      <c r="D383" t="s">
        <v>1609</v>
      </c>
      <c r="E383">
        <v>740015</v>
      </c>
      <c r="F383" t="s">
        <v>1645</v>
      </c>
    </row>
    <row r="384" spans="1:6" s="49" customFormat="1">
      <c r="A384">
        <v>741881</v>
      </c>
      <c r="B384" t="s">
        <v>1501</v>
      </c>
      <c r="C384">
        <v>740000</v>
      </c>
      <c r="D384" t="s">
        <v>1609</v>
      </c>
      <c r="E384">
        <v>740015</v>
      </c>
      <c r="F384" t="s">
        <v>1645</v>
      </c>
    </row>
    <row r="385" spans="1:6" s="49" customFormat="1">
      <c r="A385">
        <v>741901</v>
      </c>
      <c r="B385" t="s">
        <v>1047</v>
      </c>
      <c r="C385">
        <v>740000</v>
      </c>
      <c r="D385" t="s">
        <v>1609</v>
      </c>
      <c r="E385">
        <v>740017</v>
      </c>
      <c r="F385" t="s">
        <v>1610</v>
      </c>
    </row>
    <row r="386" spans="1:6" s="49" customFormat="1">
      <c r="A386">
        <v>741902</v>
      </c>
      <c r="B386" t="s">
        <v>1048</v>
      </c>
      <c r="C386">
        <v>740000</v>
      </c>
      <c r="D386" t="s">
        <v>1609</v>
      </c>
      <c r="E386">
        <v>740017</v>
      </c>
      <c r="F386" t="s">
        <v>1610</v>
      </c>
    </row>
    <row r="387" spans="1:6" s="49" customFormat="1">
      <c r="A387">
        <v>741910</v>
      </c>
      <c r="B387" t="s">
        <v>1049</v>
      </c>
      <c r="C387">
        <v>740000</v>
      </c>
      <c r="D387" t="s">
        <v>1609</v>
      </c>
      <c r="E387">
        <v>740017</v>
      </c>
      <c r="F387" t="s">
        <v>1610</v>
      </c>
    </row>
    <row r="388" spans="1:6" s="49" customFormat="1">
      <c r="A388">
        <v>741911</v>
      </c>
      <c r="B388" t="s">
        <v>1050</v>
      </c>
      <c r="C388">
        <v>740000</v>
      </c>
      <c r="D388" t="s">
        <v>1609</v>
      </c>
      <c r="E388">
        <v>740017</v>
      </c>
      <c r="F388" t="s">
        <v>1610</v>
      </c>
    </row>
    <row r="389" spans="1:6" s="49" customFormat="1">
      <c r="A389">
        <v>741920</v>
      </c>
      <c r="B389" t="s">
        <v>1801</v>
      </c>
      <c r="C389">
        <v>740000</v>
      </c>
      <c r="D389" t="s">
        <v>1609</v>
      </c>
      <c r="E389">
        <v>740017</v>
      </c>
      <c r="F389" t="s">
        <v>1610</v>
      </c>
    </row>
    <row r="390" spans="1:6" s="49" customFormat="1">
      <c r="A390">
        <v>741921</v>
      </c>
      <c r="B390" t="s">
        <v>1051</v>
      </c>
      <c r="C390">
        <v>740000</v>
      </c>
      <c r="D390" t="s">
        <v>1609</v>
      </c>
      <c r="E390">
        <v>740017</v>
      </c>
      <c r="F390" t="s">
        <v>1610</v>
      </c>
    </row>
    <row r="391" spans="1:6" s="49" customFormat="1">
      <c r="A391">
        <v>741922</v>
      </c>
      <c r="B391" t="s">
        <v>1052</v>
      </c>
      <c r="C391">
        <v>740000</v>
      </c>
      <c r="D391" t="s">
        <v>1609</v>
      </c>
      <c r="E391">
        <v>740017</v>
      </c>
      <c r="F391" t="s">
        <v>1610</v>
      </c>
    </row>
    <row r="392" spans="1:6" s="49" customFormat="1">
      <c r="A392">
        <v>741923</v>
      </c>
      <c r="B392" t="s">
        <v>1053</v>
      </c>
      <c r="C392">
        <v>740000</v>
      </c>
      <c r="D392" t="s">
        <v>1609</v>
      </c>
      <c r="E392">
        <v>740017</v>
      </c>
      <c r="F392" t="s">
        <v>1610</v>
      </c>
    </row>
    <row r="393" spans="1:6" s="49" customFormat="1">
      <c r="A393">
        <v>741924</v>
      </c>
      <c r="B393" t="s">
        <v>1054</v>
      </c>
      <c r="C393">
        <v>740000</v>
      </c>
      <c r="D393" t="s">
        <v>1609</v>
      </c>
      <c r="E393">
        <v>740017</v>
      </c>
      <c r="F393" t="s">
        <v>1610</v>
      </c>
    </row>
    <row r="394" spans="1:6" s="49" customFormat="1">
      <c r="A394">
        <v>741940</v>
      </c>
      <c r="B394" t="s">
        <v>1055</v>
      </c>
      <c r="C394">
        <v>740000</v>
      </c>
      <c r="D394" t="s">
        <v>1609</v>
      </c>
      <c r="E394">
        <v>740017</v>
      </c>
      <c r="F394" t="s">
        <v>1610</v>
      </c>
    </row>
    <row r="395" spans="1:6" s="49" customFormat="1">
      <c r="A395">
        <v>741941</v>
      </c>
      <c r="B395" t="s">
        <v>1056</v>
      </c>
      <c r="C395">
        <v>740000</v>
      </c>
      <c r="D395" t="s">
        <v>1609</v>
      </c>
      <c r="E395">
        <v>740017</v>
      </c>
      <c r="F395" t="s">
        <v>1610</v>
      </c>
    </row>
    <row r="396" spans="1:6" s="49" customFormat="1">
      <c r="A396">
        <v>741952</v>
      </c>
      <c r="B396" t="s">
        <v>1058</v>
      </c>
      <c r="C396">
        <v>740000</v>
      </c>
      <c r="D396" t="s">
        <v>1609</v>
      </c>
      <c r="E396">
        <v>740017</v>
      </c>
      <c r="F396" t="s">
        <v>1610</v>
      </c>
    </row>
    <row r="397" spans="1:6" s="49" customFormat="1">
      <c r="A397">
        <v>741954</v>
      </c>
      <c r="B397" t="s">
        <v>1060</v>
      </c>
      <c r="C397">
        <v>740000</v>
      </c>
      <c r="D397" t="s">
        <v>1609</v>
      </c>
      <c r="E397">
        <v>740017</v>
      </c>
      <c r="F397" t="s">
        <v>1610</v>
      </c>
    </row>
    <row r="398" spans="1:6" s="49" customFormat="1">
      <c r="A398">
        <v>741955</v>
      </c>
      <c r="B398" t="s">
        <v>1470</v>
      </c>
      <c r="C398">
        <v>740000</v>
      </c>
      <c r="D398" t="s">
        <v>1609</v>
      </c>
      <c r="E398">
        <v>740017</v>
      </c>
      <c r="F398" t="s">
        <v>1610</v>
      </c>
    </row>
    <row r="399" spans="1:6" s="49" customFormat="1">
      <c r="A399">
        <v>741957</v>
      </c>
      <c r="B399" t="s">
        <v>1802</v>
      </c>
      <c r="C399">
        <v>740000</v>
      </c>
      <c r="D399" t="s">
        <v>1609</v>
      </c>
      <c r="E399">
        <v>740016</v>
      </c>
      <c r="F399" t="s">
        <v>1644</v>
      </c>
    </row>
    <row r="400" spans="1:6" s="49" customFormat="1">
      <c r="A400">
        <v>741958</v>
      </c>
      <c r="B400" t="s">
        <v>1803</v>
      </c>
      <c r="C400">
        <v>740000</v>
      </c>
      <c r="D400" t="s">
        <v>1609</v>
      </c>
      <c r="E400">
        <v>740016</v>
      </c>
      <c r="F400" t="s">
        <v>1644</v>
      </c>
    </row>
    <row r="401" spans="1:6" s="49" customFormat="1">
      <c r="A401">
        <v>741965</v>
      </c>
      <c r="B401" t="s">
        <v>1067</v>
      </c>
      <c r="C401">
        <v>740000</v>
      </c>
      <c r="D401" t="s">
        <v>1609</v>
      </c>
      <c r="E401">
        <v>740017</v>
      </c>
      <c r="F401" t="s">
        <v>1610</v>
      </c>
    </row>
    <row r="402" spans="1:6" s="49" customFormat="1">
      <c r="A402">
        <v>741966</v>
      </c>
      <c r="B402" t="s">
        <v>1068</v>
      </c>
      <c r="C402">
        <v>740000</v>
      </c>
      <c r="D402" t="s">
        <v>1609</v>
      </c>
      <c r="E402">
        <v>740017</v>
      </c>
      <c r="F402" t="s">
        <v>1610</v>
      </c>
    </row>
    <row r="403" spans="1:6" s="49" customFormat="1">
      <c r="A403">
        <v>741970</v>
      </c>
      <c r="B403" t="s">
        <v>1069</v>
      </c>
      <c r="C403">
        <v>740000</v>
      </c>
      <c r="D403" t="s">
        <v>1609</v>
      </c>
      <c r="E403">
        <v>740017</v>
      </c>
      <c r="F403" t="s">
        <v>1610</v>
      </c>
    </row>
    <row r="404" spans="1:6" s="49" customFormat="1">
      <c r="A404">
        <v>741982</v>
      </c>
      <c r="B404" t="s">
        <v>1071</v>
      </c>
      <c r="C404">
        <v>740000</v>
      </c>
      <c r="D404" t="s">
        <v>1609</v>
      </c>
      <c r="E404">
        <v>740017</v>
      </c>
      <c r="F404" t="s">
        <v>1610</v>
      </c>
    </row>
    <row r="405" spans="1:6" s="49" customFormat="1">
      <c r="A405">
        <v>741984</v>
      </c>
      <c r="B405" t="s">
        <v>1072</v>
      </c>
      <c r="C405">
        <v>740000</v>
      </c>
      <c r="D405" t="s">
        <v>1609</v>
      </c>
      <c r="E405">
        <v>740017</v>
      </c>
      <c r="F405" t="s">
        <v>1610</v>
      </c>
    </row>
    <row r="406" spans="1:6" s="49" customFormat="1">
      <c r="A406">
        <v>742101</v>
      </c>
      <c r="B406" t="s">
        <v>1074</v>
      </c>
      <c r="C406">
        <v>740000</v>
      </c>
      <c r="D406" t="s">
        <v>1609</v>
      </c>
      <c r="E406">
        <v>740016</v>
      </c>
      <c r="F406" t="s">
        <v>1644</v>
      </c>
    </row>
    <row r="407" spans="1:6" s="49" customFormat="1">
      <c r="A407">
        <v>742102</v>
      </c>
      <c r="B407" t="s">
        <v>1075</v>
      </c>
      <c r="C407">
        <v>740000</v>
      </c>
      <c r="D407" t="s">
        <v>1609</v>
      </c>
      <c r="E407">
        <v>740016</v>
      </c>
      <c r="F407" t="s">
        <v>1644</v>
      </c>
    </row>
    <row r="408" spans="1:6" s="49" customFormat="1">
      <c r="A408">
        <v>742104</v>
      </c>
      <c r="B408" t="s">
        <v>1077</v>
      </c>
      <c r="C408">
        <v>740000</v>
      </c>
      <c r="D408" t="s">
        <v>1609</v>
      </c>
      <c r="E408">
        <v>740017</v>
      </c>
      <c r="F408" t="s">
        <v>1610</v>
      </c>
    </row>
    <row r="409" spans="1:6" s="49" customFormat="1">
      <c r="A409">
        <v>742129</v>
      </c>
      <c r="B409" t="s">
        <v>1804</v>
      </c>
      <c r="C409">
        <v>740000</v>
      </c>
      <c r="D409" t="s">
        <v>1609</v>
      </c>
      <c r="E409">
        <v>740016</v>
      </c>
      <c r="F409" t="s">
        <v>1644</v>
      </c>
    </row>
    <row r="410" spans="1:6" s="49" customFormat="1">
      <c r="A410">
        <v>742130</v>
      </c>
      <c r="B410" t="s">
        <v>1805</v>
      </c>
      <c r="C410">
        <v>740000</v>
      </c>
      <c r="D410" t="s">
        <v>1609</v>
      </c>
      <c r="E410">
        <v>740017</v>
      </c>
      <c r="F410" t="s">
        <v>1610</v>
      </c>
    </row>
    <row r="411" spans="1:6" s="49" customFormat="1">
      <c r="A411">
        <v>742131</v>
      </c>
      <c r="B411" t="s">
        <v>1806</v>
      </c>
      <c r="C411">
        <v>740000</v>
      </c>
      <c r="D411" t="s">
        <v>1609</v>
      </c>
      <c r="E411">
        <v>740017</v>
      </c>
      <c r="F411" t="s">
        <v>1610</v>
      </c>
    </row>
    <row r="412" spans="1:6" s="49" customFormat="1">
      <c r="A412">
        <v>742201</v>
      </c>
      <c r="B412" t="s">
        <v>1506</v>
      </c>
      <c r="C412">
        <v>740000</v>
      </c>
      <c r="D412" t="s">
        <v>1609</v>
      </c>
      <c r="E412">
        <v>740016</v>
      </c>
      <c r="F412" t="s">
        <v>1644</v>
      </c>
    </row>
    <row r="413" spans="1:6" s="49" customFormat="1">
      <c r="A413">
        <v>742202</v>
      </c>
      <c r="B413" t="s">
        <v>1090</v>
      </c>
      <c r="C413">
        <v>740000</v>
      </c>
      <c r="D413" t="s">
        <v>1609</v>
      </c>
      <c r="E413">
        <v>740016</v>
      </c>
      <c r="F413" t="s">
        <v>1644</v>
      </c>
    </row>
    <row r="414" spans="1:6" s="49" customFormat="1">
      <c r="A414">
        <v>742203</v>
      </c>
      <c r="B414" t="s">
        <v>1091</v>
      </c>
      <c r="C414">
        <v>740000</v>
      </c>
      <c r="D414" t="s">
        <v>1609</v>
      </c>
      <c r="E414">
        <v>740016</v>
      </c>
      <c r="F414" t="s">
        <v>1644</v>
      </c>
    </row>
    <row r="415" spans="1:6" s="49" customFormat="1">
      <c r="A415">
        <v>742204</v>
      </c>
      <c r="B415" t="s">
        <v>1092</v>
      </c>
      <c r="C415">
        <v>740000</v>
      </c>
      <c r="D415" t="s">
        <v>1609</v>
      </c>
      <c r="E415">
        <v>740016</v>
      </c>
      <c r="F415" t="s">
        <v>1644</v>
      </c>
    </row>
    <row r="416" spans="1:6" s="49" customFormat="1">
      <c r="A416">
        <v>742205</v>
      </c>
      <c r="B416" t="s">
        <v>1093</v>
      </c>
      <c r="C416">
        <v>740000</v>
      </c>
      <c r="D416" t="s">
        <v>1609</v>
      </c>
      <c r="E416">
        <v>740016</v>
      </c>
      <c r="F416" t="s">
        <v>1644</v>
      </c>
    </row>
    <row r="417" spans="1:6" s="49" customFormat="1">
      <c r="A417">
        <v>742206</v>
      </c>
      <c r="B417" t="s">
        <v>1094</v>
      </c>
      <c r="C417">
        <v>740000</v>
      </c>
      <c r="D417" t="s">
        <v>1609</v>
      </c>
      <c r="E417">
        <v>740016</v>
      </c>
      <c r="F417" t="s">
        <v>1644</v>
      </c>
    </row>
    <row r="418" spans="1:6" s="49" customFormat="1">
      <c r="A418">
        <v>742207</v>
      </c>
      <c r="B418" t="s">
        <v>1095</v>
      </c>
      <c r="C418">
        <v>740000</v>
      </c>
      <c r="D418" t="s">
        <v>1609</v>
      </c>
      <c r="E418">
        <v>740016</v>
      </c>
      <c r="F418" t="s">
        <v>1644</v>
      </c>
    </row>
    <row r="419" spans="1:6" s="49" customFormat="1">
      <c r="A419">
        <v>742211</v>
      </c>
      <c r="B419" t="s">
        <v>1099</v>
      </c>
      <c r="C419">
        <v>740000</v>
      </c>
      <c r="D419" t="s">
        <v>1609</v>
      </c>
      <c r="E419">
        <v>740016</v>
      </c>
      <c r="F419" t="s">
        <v>1644</v>
      </c>
    </row>
    <row r="420" spans="1:6" s="49" customFormat="1">
      <c r="A420">
        <v>742212</v>
      </c>
      <c r="B420" t="s">
        <v>1100</v>
      </c>
      <c r="C420">
        <v>740000</v>
      </c>
      <c r="D420" t="s">
        <v>1609</v>
      </c>
      <c r="E420">
        <v>740016</v>
      </c>
      <c r="F420" t="s">
        <v>1644</v>
      </c>
    </row>
    <row r="421" spans="1:6" s="49" customFormat="1">
      <c r="A421">
        <v>742213</v>
      </c>
      <c r="B421" t="s">
        <v>1101</v>
      </c>
      <c r="C421">
        <v>740000</v>
      </c>
      <c r="D421" t="s">
        <v>1609</v>
      </c>
      <c r="E421">
        <v>740016</v>
      </c>
      <c r="F421" t="s">
        <v>1644</v>
      </c>
    </row>
    <row r="422" spans="1:6" s="49" customFormat="1">
      <c r="A422">
        <v>742215</v>
      </c>
      <c r="B422" t="s">
        <v>1102</v>
      </c>
      <c r="C422">
        <v>740000</v>
      </c>
      <c r="D422" t="s">
        <v>1609</v>
      </c>
      <c r="E422">
        <v>740016</v>
      </c>
      <c r="F422" t="s">
        <v>1644</v>
      </c>
    </row>
    <row r="423" spans="1:6" s="49" customFormat="1">
      <c r="A423">
        <v>742216</v>
      </c>
      <c r="B423" t="s">
        <v>1103</v>
      </c>
      <c r="C423">
        <v>740000</v>
      </c>
      <c r="D423" t="s">
        <v>1609</v>
      </c>
      <c r="E423">
        <v>740016</v>
      </c>
      <c r="F423" t="s">
        <v>1644</v>
      </c>
    </row>
    <row r="424" spans="1:6" s="49" customFormat="1">
      <c r="A424">
        <v>742218</v>
      </c>
      <c r="B424" t="s">
        <v>1105</v>
      </c>
      <c r="C424">
        <v>740000</v>
      </c>
      <c r="D424" t="s">
        <v>1609</v>
      </c>
      <c r="E424">
        <v>740016</v>
      </c>
      <c r="F424" t="s">
        <v>1644</v>
      </c>
    </row>
    <row r="425" spans="1:6" s="49" customFormat="1">
      <c r="A425">
        <v>742219</v>
      </c>
      <c r="B425" t="s">
        <v>1106</v>
      </c>
      <c r="C425">
        <v>740000</v>
      </c>
      <c r="D425" t="s">
        <v>1609</v>
      </c>
      <c r="E425">
        <v>740016</v>
      </c>
      <c r="F425" t="s">
        <v>1644</v>
      </c>
    </row>
    <row r="426" spans="1:6" s="49" customFormat="1">
      <c r="A426">
        <v>742220</v>
      </c>
      <c r="B426" t="s">
        <v>1807</v>
      </c>
      <c r="C426">
        <v>740000</v>
      </c>
      <c r="D426" t="s">
        <v>1609</v>
      </c>
      <c r="E426">
        <v>740016</v>
      </c>
      <c r="F426" t="s">
        <v>1644</v>
      </c>
    </row>
    <row r="427" spans="1:6" s="49" customFormat="1">
      <c r="A427">
        <v>742221</v>
      </c>
      <c r="B427" t="s">
        <v>1108</v>
      </c>
      <c r="C427">
        <v>740000</v>
      </c>
      <c r="D427" t="s">
        <v>1609</v>
      </c>
      <c r="E427">
        <v>740016</v>
      </c>
      <c r="F427" t="s">
        <v>1644</v>
      </c>
    </row>
    <row r="428" spans="1:6" s="49" customFormat="1">
      <c r="A428">
        <v>742222</v>
      </c>
      <c r="B428" t="s">
        <v>1109</v>
      </c>
      <c r="C428">
        <v>740000</v>
      </c>
      <c r="D428" t="s">
        <v>1609</v>
      </c>
      <c r="E428">
        <v>740016</v>
      </c>
      <c r="F428" t="s">
        <v>1644</v>
      </c>
    </row>
    <row r="429" spans="1:6" s="49" customFormat="1">
      <c r="A429">
        <v>742223</v>
      </c>
      <c r="B429" t="s">
        <v>1110</v>
      </c>
      <c r="C429">
        <v>740000</v>
      </c>
      <c r="D429" t="s">
        <v>1609</v>
      </c>
      <c r="E429">
        <v>740016</v>
      </c>
      <c r="F429" t="s">
        <v>1644</v>
      </c>
    </row>
    <row r="430" spans="1:6" s="49" customFormat="1">
      <c r="A430">
        <v>742224</v>
      </c>
      <c r="B430" t="s">
        <v>1647</v>
      </c>
      <c r="C430">
        <v>740000</v>
      </c>
      <c r="D430" t="s">
        <v>1609</v>
      </c>
      <c r="E430">
        <v>740016</v>
      </c>
      <c r="F430" t="s">
        <v>1644</v>
      </c>
    </row>
    <row r="431" spans="1:6" s="49" customFormat="1">
      <c r="A431">
        <v>742225</v>
      </c>
      <c r="B431" t="s">
        <v>1808</v>
      </c>
      <c r="C431">
        <v>740000</v>
      </c>
      <c r="D431" t="s">
        <v>1609</v>
      </c>
      <c r="E431">
        <v>740016</v>
      </c>
      <c r="F431" t="s">
        <v>1644</v>
      </c>
    </row>
    <row r="432" spans="1:6" s="49" customFormat="1">
      <c r="A432">
        <v>742226</v>
      </c>
      <c r="B432" t="s">
        <v>1809</v>
      </c>
      <c r="C432">
        <v>740000</v>
      </c>
      <c r="D432" t="s">
        <v>1609</v>
      </c>
      <c r="E432">
        <v>740016</v>
      </c>
      <c r="F432" t="s">
        <v>1644</v>
      </c>
    </row>
    <row r="433" spans="1:6" s="49" customFormat="1">
      <c r="A433">
        <v>742227</v>
      </c>
      <c r="B433" t="s">
        <v>1810</v>
      </c>
      <c r="C433">
        <v>740000</v>
      </c>
      <c r="D433" t="s">
        <v>1609</v>
      </c>
      <c r="E433">
        <v>740016</v>
      </c>
      <c r="F433" t="s">
        <v>1644</v>
      </c>
    </row>
    <row r="434" spans="1:6" s="49" customFormat="1">
      <c r="A434">
        <v>742228</v>
      </c>
      <c r="B434" t="s">
        <v>1811</v>
      </c>
      <c r="C434">
        <v>740000</v>
      </c>
      <c r="D434" t="s">
        <v>1609</v>
      </c>
      <c r="E434">
        <v>740016</v>
      </c>
      <c r="F434" t="s">
        <v>1644</v>
      </c>
    </row>
    <row r="435" spans="1:6" s="49" customFormat="1">
      <c r="A435">
        <v>742240</v>
      </c>
      <c r="B435" t="s">
        <v>1113</v>
      </c>
      <c r="C435">
        <v>740000</v>
      </c>
      <c r="D435" t="s">
        <v>1609</v>
      </c>
      <c r="E435">
        <v>740016</v>
      </c>
      <c r="F435" t="s">
        <v>1644</v>
      </c>
    </row>
    <row r="436" spans="1:6" s="49" customFormat="1">
      <c r="A436">
        <v>742245</v>
      </c>
      <c r="B436" t="s">
        <v>1812</v>
      </c>
      <c r="C436">
        <v>740000</v>
      </c>
      <c r="D436" t="s">
        <v>1609</v>
      </c>
      <c r="E436">
        <v>740016</v>
      </c>
      <c r="F436" t="s">
        <v>1644</v>
      </c>
    </row>
    <row r="437" spans="1:6" s="49" customFormat="1">
      <c r="A437">
        <v>742290</v>
      </c>
      <c r="B437" t="s">
        <v>1114</v>
      </c>
      <c r="C437">
        <v>740000</v>
      </c>
      <c r="D437" t="s">
        <v>1609</v>
      </c>
      <c r="E437">
        <v>740016</v>
      </c>
      <c r="F437" t="s">
        <v>1644</v>
      </c>
    </row>
    <row r="438" spans="1:6" s="49" customFormat="1">
      <c r="A438">
        <v>742291</v>
      </c>
      <c r="B438" t="s">
        <v>1237</v>
      </c>
      <c r="C438">
        <v>740000</v>
      </c>
      <c r="D438" t="s">
        <v>1609</v>
      </c>
      <c r="E438">
        <v>740016</v>
      </c>
      <c r="F438" t="s">
        <v>1644</v>
      </c>
    </row>
    <row r="439" spans="1:6" s="49" customFormat="1">
      <c r="A439">
        <v>743010</v>
      </c>
      <c r="B439" t="s">
        <v>1115</v>
      </c>
      <c r="C439">
        <v>740000</v>
      </c>
      <c r="D439" t="s">
        <v>1609</v>
      </c>
      <c r="E439">
        <v>740016</v>
      </c>
      <c r="F439" t="s">
        <v>1644</v>
      </c>
    </row>
    <row r="440" spans="1:6" s="49" customFormat="1">
      <c r="A440">
        <v>743011</v>
      </c>
      <c r="B440" t="s">
        <v>1116</v>
      </c>
      <c r="C440">
        <v>740000</v>
      </c>
      <c r="D440" t="s">
        <v>1609</v>
      </c>
      <c r="E440">
        <v>740016</v>
      </c>
      <c r="F440" t="s">
        <v>1644</v>
      </c>
    </row>
    <row r="441" spans="1:6" s="49" customFormat="1">
      <c r="A441">
        <v>743014</v>
      </c>
      <c r="B441" t="s">
        <v>1118</v>
      </c>
      <c r="C441">
        <v>740000</v>
      </c>
      <c r="D441" t="s">
        <v>1609</v>
      </c>
      <c r="E441">
        <v>740016</v>
      </c>
      <c r="F441" t="s">
        <v>1644</v>
      </c>
    </row>
    <row r="442" spans="1:6" s="49" customFormat="1">
      <c r="A442">
        <v>743015</v>
      </c>
      <c r="B442" t="s">
        <v>1119</v>
      </c>
      <c r="C442">
        <v>740000</v>
      </c>
      <c r="D442" t="s">
        <v>1609</v>
      </c>
      <c r="E442">
        <v>740016</v>
      </c>
      <c r="F442" t="s">
        <v>1644</v>
      </c>
    </row>
    <row r="443" spans="1:6" s="49" customFormat="1">
      <c r="A443">
        <v>743016</v>
      </c>
      <c r="B443" t="s">
        <v>1120</v>
      </c>
      <c r="C443">
        <v>740000</v>
      </c>
      <c r="D443" t="s">
        <v>1609</v>
      </c>
      <c r="E443">
        <v>740016</v>
      </c>
      <c r="F443" t="s">
        <v>1644</v>
      </c>
    </row>
    <row r="444" spans="1:6" s="49" customFormat="1">
      <c r="A444">
        <v>743017</v>
      </c>
      <c r="B444" t="s">
        <v>1121</v>
      </c>
      <c r="C444">
        <v>740000</v>
      </c>
      <c r="D444" t="s">
        <v>1609</v>
      </c>
      <c r="E444">
        <v>740016</v>
      </c>
      <c r="F444" t="s">
        <v>1644</v>
      </c>
    </row>
    <row r="445" spans="1:6" s="49" customFormat="1">
      <c r="A445">
        <v>743018</v>
      </c>
      <c r="B445" t="s">
        <v>1122</v>
      </c>
      <c r="C445">
        <v>740000</v>
      </c>
      <c r="D445" t="s">
        <v>1609</v>
      </c>
      <c r="E445">
        <v>740016</v>
      </c>
      <c r="F445" t="s">
        <v>1644</v>
      </c>
    </row>
    <row r="446" spans="1:6" s="49" customFormat="1">
      <c r="A446">
        <v>743019</v>
      </c>
      <c r="B446" t="s">
        <v>1123</v>
      </c>
      <c r="C446">
        <v>740000</v>
      </c>
      <c r="D446" t="s">
        <v>1609</v>
      </c>
      <c r="E446">
        <v>740016</v>
      </c>
      <c r="F446" t="s">
        <v>1644</v>
      </c>
    </row>
    <row r="447" spans="1:6" s="49" customFormat="1">
      <c r="A447">
        <v>743021</v>
      </c>
      <c r="B447" t="s">
        <v>1125</v>
      </c>
      <c r="C447">
        <v>740000</v>
      </c>
      <c r="D447" t="s">
        <v>1609</v>
      </c>
      <c r="E447">
        <v>740016</v>
      </c>
      <c r="F447" t="s">
        <v>1644</v>
      </c>
    </row>
    <row r="448" spans="1:6" s="49" customFormat="1">
      <c r="A448">
        <v>743022</v>
      </c>
      <c r="B448" t="s">
        <v>1126</v>
      </c>
      <c r="C448">
        <v>740000</v>
      </c>
      <c r="D448" t="s">
        <v>1609</v>
      </c>
      <c r="E448">
        <v>740016</v>
      </c>
      <c r="F448" t="s">
        <v>1644</v>
      </c>
    </row>
    <row r="449" spans="1:6" s="49" customFormat="1">
      <c r="A449">
        <v>743023</v>
      </c>
      <c r="B449" t="s">
        <v>1127</v>
      </c>
      <c r="C449">
        <v>740000</v>
      </c>
      <c r="D449" t="s">
        <v>1609</v>
      </c>
      <c r="E449">
        <v>740016</v>
      </c>
      <c r="F449" t="s">
        <v>1644</v>
      </c>
    </row>
    <row r="450" spans="1:6" s="49" customFormat="1">
      <c r="A450">
        <v>743024</v>
      </c>
      <c r="B450" t="s">
        <v>1128</v>
      </c>
      <c r="C450">
        <v>740000</v>
      </c>
      <c r="D450" t="s">
        <v>1609</v>
      </c>
      <c r="E450">
        <v>740016</v>
      </c>
      <c r="F450" t="s">
        <v>1644</v>
      </c>
    </row>
    <row r="451" spans="1:6" s="49" customFormat="1">
      <c r="A451">
        <v>743025</v>
      </c>
      <c r="B451" t="s">
        <v>1129</v>
      </c>
      <c r="C451">
        <v>740000</v>
      </c>
      <c r="D451" t="s">
        <v>1609</v>
      </c>
      <c r="E451">
        <v>740016</v>
      </c>
      <c r="F451" t="s">
        <v>1644</v>
      </c>
    </row>
    <row r="452" spans="1:6" s="49" customFormat="1">
      <c r="A452">
        <v>743026</v>
      </c>
      <c r="B452" t="s">
        <v>1130</v>
      </c>
      <c r="C452">
        <v>740000</v>
      </c>
      <c r="D452" t="s">
        <v>1609</v>
      </c>
      <c r="E452">
        <v>740016</v>
      </c>
      <c r="F452" t="s">
        <v>1644</v>
      </c>
    </row>
    <row r="453" spans="1:6" s="49" customFormat="1">
      <c r="A453">
        <v>743028</v>
      </c>
      <c r="B453" t="s">
        <v>1132</v>
      </c>
      <c r="C453">
        <v>740000</v>
      </c>
      <c r="D453" t="s">
        <v>1609</v>
      </c>
      <c r="E453">
        <v>740016</v>
      </c>
      <c r="F453" t="s">
        <v>1644</v>
      </c>
    </row>
    <row r="454" spans="1:6" s="49" customFormat="1">
      <c r="A454">
        <v>743030</v>
      </c>
      <c r="B454" t="s">
        <v>1134</v>
      </c>
      <c r="C454">
        <v>740000</v>
      </c>
      <c r="D454" t="s">
        <v>1609</v>
      </c>
      <c r="E454">
        <v>740016</v>
      </c>
      <c r="F454" t="s">
        <v>1644</v>
      </c>
    </row>
    <row r="455" spans="1:6" s="49" customFormat="1">
      <c r="A455">
        <v>743031</v>
      </c>
      <c r="B455" t="s">
        <v>1135</v>
      </c>
      <c r="C455">
        <v>740000</v>
      </c>
      <c r="D455" t="s">
        <v>1609</v>
      </c>
      <c r="E455">
        <v>740016</v>
      </c>
      <c r="F455" t="s">
        <v>1644</v>
      </c>
    </row>
    <row r="456" spans="1:6" s="49" customFormat="1">
      <c r="A456">
        <v>743032</v>
      </c>
      <c r="B456" t="s">
        <v>1136</v>
      </c>
      <c r="C456">
        <v>740000</v>
      </c>
      <c r="D456" t="s">
        <v>1609</v>
      </c>
      <c r="E456">
        <v>740016</v>
      </c>
      <c r="F456" t="s">
        <v>1644</v>
      </c>
    </row>
    <row r="457" spans="1:6" s="49" customFormat="1">
      <c r="A457">
        <v>743033</v>
      </c>
      <c r="B457" t="s">
        <v>1137</v>
      </c>
      <c r="C457">
        <v>740000</v>
      </c>
      <c r="D457" t="s">
        <v>1609</v>
      </c>
      <c r="E457">
        <v>740016</v>
      </c>
      <c r="F457" t="s">
        <v>1644</v>
      </c>
    </row>
    <row r="458" spans="1:6" s="49" customFormat="1">
      <c r="A458">
        <v>743034</v>
      </c>
      <c r="B458" t="s">
        <v>1138</v>
      </c>
      <c r="C458">
        <v>740000</v>
      </c>
      <c r="D458" t="s">
        <v>1609</v>
      </c>
      <c r="E458">
        <v>740016</v>
      </c>
      <c r="F458" t="s">
        <v>1644</v>
      </c>
    </row>
    <row r="459" spans="1:6" s="49" customFormat="1">
      <c r="A459">
        <v>743035</v>
      </c>
      <c r="B459" t="s">
        <v>1139</v>
      </c>
      <c r="C459">
        <v>740000</v>
      </c>
      <c r="D459" t="s">
        <v>1609</v>
      </c>
      <c r="E459">
        <v>740016</v>
      </c>
      <c r="F459" t="s">
        <v>1644</v>
      </c>
    </row>
    <row r="460" spans="1:6" s="49" customFormat="1">
      <c r="A460">
        <v>743036</v>
      </c>
      <c r="B460" t="s">
        <v>1140</v>
      </c>
      <c r="C460">
        <v>740000</v>
      </c>
      <c r="D460" t="s">
        <v>1609</v>
      </c>
      <c r="E460">
        <v>740016</v>
      </c>
      <c r="F460" t="s">
        <v>1644</v>
      </c>
    </row>
    <row r="461" spans="1:6" s="49" customFormat="1">
      <c r="A461">
        <v>743049</v>
      </c>
      <c r="B461" t="s">
        <v>1274</v>
      </c>
      <c r="C461">
        <v>740000</v>
      </c>
      <c r="D461" t="s">
        <v>1609</v>
      </c>
      <c r="E461">
        <v>740017</v>
      </c>
      <c r="F461" t="s">
        <v>1610</v>
      </c>
    </row>
    <row r="462" spans="1:6" s="49" customFormat="1">
      <c r="A462">
        <v>743105</v>
      </c>
      <c r="B462" t="s">
        <v>1142</v>
      </c>
      <c r="C462">
        <v>740000</v>
      </c>
      <c r="D462" t="s">
        <v>1609</v>
      </c>
      <c r="E462">
        <v>740017</v>
      </c>
      <c r="F462" t="s">
        <v>1610</v>
      </c>
    </row>
    <row r="463" spans="1:6" s="49" customFormat="1">
      <c r="A463">
        <v>743200</v>
      </c>
      <c r="B463" t="s">
        <v>1891</v>
      </c>
      <c r="C463">
        <v>740000</v>
      </c>
      <c r="D463" t="s">
        <v>1609</v>
      </c>
      <c r="E463">
        <v>740016</v>
      </c>
      <c r="F463" t="s">
        <v>1644</v>
      </c>
    </row>
    <row r="464" spans="1:6" s="49" customFormat="1">
      <c r="A464">
        <v>747800</v>
      </c>
      <c r="B464" t="s">
        <v>1813</v>
      </c>
      <c r="C464">
        <v>780110</v>
      </c>
      <c r="D464" t="s">
        <v>1184</v>
      </c>
      <c r="E464"/>
      <c r="F464"/>
    </row>
    <row r="465" spans="1:6" s="49" customFormat="1">
      <c r="A465">
        <v>748001</v>
      </c>
      <c r="B465" t="s">
        <v>1814</v>
      </c>
      <c r="C465">
        <v>740000</v>
      </c>
      <c r="D465" t="s">
        <v>1609</v>
      </c>
      <c r="E465">
        <v>740017</v>
      </c>
      <c r="F465" t="s">
        <v>1610</v>
      </c>
    </row>
    <row r="466" spans="1:6" s="49" customFormat="1">
      <c r="A466">
        <v>748002</v>
      </c>
      <c r="B466" t="s">
        <v>1815</v>
      </c>
      <c r="C466">
        <v>740000</v>
      </c>
      <c r="D466" t="s">
        <v>1609</v>
      </c>
      <c r="E466">
        <v>740017</v>
      </c>
      <c r="F466" t="s">
        <v>1610</v>
      </c>
    </row>
    <row r="467" spans="1:6" s="49" customFormat="1">
      <c r="A467">
        <v>748003</v>
      </c>
      <c r="B467" t="s">
        <v>1816</v>
      </c>
      <c r="C467">
        <v>740000</v>
      </c>
      <c r="D467" t="s">
        <v>1609</v>
      </c>
      <c r="E467">
        <v>740017</v>
      </c>
      <c r="F467" t="s">
        <v>1610</v>
      </c>
    </row>
    <row r="468" spans="1:6" s="49" customFormat="1">
      <c r="A468">
        <v>748099</v>
      </c>
      <c r="B468" t="s">
        <v>1817</v>
      </c>
      <c r="C468">
        <v>740000</v>
      </c>
      <c r="D468" t="s">
        <v>1609</v>
      </c>
      <c r="E468">
        <v>740017</v>
      </c>
      <c r="F468" t="s">
        <v>1610</v>
      </c>
    </row>
    <row r="469" spans="1:6" s="49" customFormat="1">
      <c r="A469">
        <v>749000</v>
      </c>
      <c r="B469" t="s">
        <v>1275</v>
      </c>
      <c r="C469">
        <v>740000</v>
      </c>
      <c r="D469" t="s">
        <v>1609</v>
      </c>
      <c r="E469">
        <v>740017</v>
      </c>
      <c r="F469" t="s">
        <v>1610</v>
      </c>
    </row>
    <row r="470" spans="1:6" s="49" customFormat="1">
      <c r="A470">
        <v>749100</v>
      </c>
      <c r="B470" t="s">
        <v>1818</v>
      </c>
      <c r="C470">
        <v>740000</v>
      </c>
      <c r="D470" t="s">
        <v>1609</v>
      </c>
      <c r="E470">
        <v>740017</v>
      </c>
      <c r="F470" t="s">
        <v>1610</v>
      </c>
    </row>
    <row r="471" spans="1:6" s="49" customFormat="1">
      <c r="A471">
        <v>749500</v>
      </c>
      <c r="B471" t="s">
        <v>1819</v>
      </c>
      <c r="C471">
        <v>740000</v>
      </c>
      <c r="D471" t="s">
        <v>1609</v>
      </c>
      <c r="E471">
        <v>740017</v>
      </c>
      <c r="F471" t="s">
        <v>1610</v>
      </c>
    </row>
    <row r="472" spans="1:6" s="49" customFormat="1">
      <c r="A472">
        <v>749999</v>
      </c>
      <c r="B472" t="s">
        <v>1143</v>
      </c>
      <c r="C472">
        <v>740000</v>
      </c>
      <c r="D472" t="s">
        <v>1609</v>
      </c>
      <c r="E472">
        <v>740012</v>
      </c>
      <c r="F472" t="s">
        <v>1641</v>
      </c>
    </row>
    <row r="473" spans="1:6" s="49" customFormat="1">
      <c r="A473">
        <v>760101</v>
      </c>
      <c r="B473" t="s">
        <v>1145</v>
      </c>
      <c r="C473">
        <v>760000</v>
      </c>
      <c r="D473" t="s">
        <v>1648</v>
      </c>
      <c r="E473">
        <v>760001</v>
      </c>
      <c r="F473" t="s">
        <v>1649</v>
      </c>
    </row>
    <row r="474" spans="1:6" s="49" customFormat="1">
      <c r="A474">
        <v>760201</v>
      </c>
      <c r="B474" t="s">
        <v>1146</v>
      </c>
      <c r="C474">
        <v>760000</v>
      </c>
      <c r="D474" t="s">
        <v>1648</v>
      </c>
      <c r="E474">
        <v>760001</v>
      </c>
      <c r="F474" t="s">
        <v>1649</v>
      </c>
    </row>
    <row r="475" spans="1:6" s="49" customFormat="1">
      <c r="A475">
        <v>760210</v>
      </c>
      <c r="B475" t="s">
        <v>1147</v>
      </c>
      <c r="C475">
        <v>760000</v>
      </c>
      <c r="D475" t="s">
        <v>1648</v>
      </c>
      <c r="E475">
        <v>760001</v>
      </c>
      <c r="F475" t="s">
        <v>1649</v>
      </c>
    </row>
    <row r="476" spans="1:6" s="49" customFormat="1">
      <c r="A476">
        <v>760301</v>
      </c>
      <c r="B476" t="s">
        <v>1148</v>
      </c>
      <c r="C476">
        <v>760000</v>
      </c>
      <c r="D476" t="s">
        <v>1648</v>
      </c>
      <c r="E476">
        <v>760001</v>
      </c>
      <c r="F476" t="s">
        <v>1649</v>
      </c>
    </row>
    <row r="477" spans="1:6" s="49" customFormat="1">
      <c r="A477">
        <v>760310</v>
      </c>
      <c r="B477" t="s">
        <v>1149</v>
      </c>
      <c r="C477">
        <v>760000</v>
      </c>
      <c r="D477" t="s">
        <v>1648</v>
      </c>
      <c r="E477">
        <v>760001</v>
      </c>
      <c r="F477" t="s">
        <v>1649</v>
      </c>
    </row>
    <row r="478" spans="1:6" s="49" customFormat="1">
      <c r="A478">
        <v>760311</v>
      </c>
      <c r="B478" t="s">
        <v>1150</v>
      </c>
      <c r="C478">
        <v>760000</v>
      </c>
      <c r="D478" t="s">
        <v>1648</v>
      </c>
      <c r="E478">
        <v>760001</v>
      </c>
      <c r="F478" t="s">
        <v>1649</v>
      </c>
    </row>
    <row r="479" spans="1:6" s="49" customFormat="1">
      <c r="A479">
        <v>760331</v>
      </c>
      <c r="B479" t="s">
        <v>1151</v>
      </c>
      <c r="C479">
        <v>760000</v>
      </c>
      <c r="D479" t="s">
        <v>1648</v>
      </c>
      <c r="E479">
        <v>760001</v>
      </c>
      <c r="F479" t="s">
        <v>1649</v>
      </c>
    </row>
    <row r="480" spans="1:6" s="49" customFormat="1">
      <c r="A480">
        <v>760361</v>
      </c>
      <c r="B480" t="s">
        <v>1152</v>
      </c>
      <c r="C480">
        <v>760000</v>
      </c>
      <c r="D480" t="s">
        <v>1648</v>
      </c>
      <c r="E480">
        <v>760001</v>
      </c>
      <c r="F480" t="s">
        <v>1649</v>
      </c>
    </row>
    <row r="481" spans="1:6" s="49" customFormat="1">
      <c r="A481">
        <v>760601</v>
      </c>
      <c r="B481" t="s">
        <v>1153</v>
      </c>
      <c r="C481">
        <v>760000</v>
      </c>
      <c r="D481" t="s">
        <v>1648</v>
      </c>
      <c r="E481">
        <v>760001</v>
      </c>
      <c r="F481" t="s">
        <v>1649</v>
      </c>
    </row>
    <row r="482" spans="1:6" s="49" customFormat="1">
      <c r="A482">
        <v>760621</v>
      </c>
      <c r="B482" t="s">
        <v>1154</v>
      </c>
      <c r="C482">
        <v>760000</v>
      </c>
      <c r="D482" t="s">
        <v>1648</v>
      </c>
      <c r="E482">
        <v>760001</v>
      </c>
      <c r="F482" t="s">
        <v>1649</v>
      </c>
    </row>
    <row r="483" spans="1:6" s="49" customFormat="1">
      <c r="A483">
        <v>760651</v>
      </c>
      <c r="B483" t="s">
        <v>1155</v>
      </c>
      <c r="C483">
        <v>760000</v>
      </c>
      <c r="D483" t="s">
        <v>1648</v>
      </c>
      <c r="E483">
        <v>760001</v>
      </c>
      <c r="F483" t="s">
        <v>1649</v>
      </c>
    </row>
    <row r="484" spans="1:6" s="49" customFormat="1">
      <c r="A484">
        <v>760701</v>
      </c>
      <c r="B484" t="s">
        <v>1156</v>
      </c>
      <c r="C484">
        <v>760000</v>
      </c>
      <c r="D484" t="s">
        <v>1648</v>
      </c>
      <c r="E484">
        <v>760001</v>
      </c>
      <c r="F484" t="s">
        <v>1649</v>
      </c>
    </row>
    <row r="485" spans="1:6" s="49" customFormat="1">
      <c r="A485">
        <v>760801</v>
      </c>
      <c r="B485" t="s">
        <v>1157</v>
      </c>
      <c r="C485">
        <v>760000</v>
      </c>
      <c r="D485" t="s">
        <v>1648</v>
      </c>
      <c r="E485">
        <v>760001</v>
      </c>
      <c r="F485" t="s">
        <v>1649</v>
      </c>
    </row>
    <row r="486" spans="1:6" s="49" customFormat="1">
      <c r="A486">
        <v>760901</v>
      </c>
      <c r="B486" t="s">
        <v>1820</v>
      </c>
      <c r="C486">
        <v>760000</v>
      </c>
      <c r="D486" t="s">
        <v>1648</v>
      </c>
      <c r="E486">
        <v>760001</v>
      </c>
      <c r="F486" t="s">
        <v>1649</v>
      </c>
    </row>
    <row r="487" spans="1:6" s="49" customFormat="1">
      <c r="A487">
        <v>760902</v>
      </c>
      <c r="B487" t="s">
        <v>1159</v>
      </c>
      <c r="C487">
        <v>760000</v>
      </c>
      <c r="D487" t="s">
        <v>1648</v>
      </c>
      <c r="E487">
        <v>760001</v>
      </c>
      <c r="F487" t="s">
        <v>1649</v>
      </c>
    </row>
    <row r="488" spans="1:6" s="49" customFormat="1">
      <c r="A488">
        <v>761001</v>
      </c>
      <c r="B488" t="s">
        <v>1650</v>
      </c>
      <c r="C488">
        <v>760000</v>
      </c>
      <c r="D488" t="s">
        <v>1648</v>
      </c>
      <c r="E488">
        <v>760001</v>
      </c>
      <c r="F488" t="s">
        <v>1649</v>
      </c>
    </row>
    <row r="489" spans="1:6" s="49" customFormat="1">
      <c r="A489">
        <v>761201</v>
      </c>
      <c r="B489" t="s">
        <v>1821</v>
      </c>
      <c r="C489">
        <v>760000</v>
      </c>
      <c r="D489" t="s">
        <v>1648</v>
      </c>
      <c r="E489">
        <v>760002</v>
      </c>
      <c r="F489" t="s">
        <v>1651</v>
      </c>
    </row>
    <row r="490" spans="1:6" s="49" customFormat="1">
      <c r="A490">
        <v>761301</v>
      </c>
      <c r="B490" t="s">
        <v>1161</v>
      </c>
      <c r="C490">
        <v>760000</v>
      </c>
      <c r="D490" t="s">
        <v>1648</v>
      </c>
      <c r="E490">
        <v>760001</v>
      </c>
      <c r="F490" t="s">
        <v>1649</v>
      </c>
    </row>
    <row r="491" spans="1:6" s="49" customFormat="1">
      <c r="A491">
        <v>761501</v>
      </c>
      <c r="B491" t="s">
        <v>1652</v>
      </c>
      <c r="C491">
        <v>760000</v>
      </c>
      <c r="D491" t="s">
        <v>1648</v>
      </c>
      <c r="E491">
        <v>760003</v>
      </c>
      <c r="F491" t="s">
        <v>1653</v>
      </c>
    </row>
    <row r="492" spans="1:6" s="49" customFormat="1">
      <c r="A492">
        <v>761601</v>
      </c>
      <c r="B492" t="s">
        <v>1166</v>
      </c>
      <c r="C492">
        <v>760000</v>
      </c>
      <c r="D492" t="s">
        <v>1648</v>
      </c>
      <c r="E492">
        <v>760004</v>
      </c>
      <c r="F492" t="s">
        <v>1654</v>
      </c>
    </row>
    <row r="493" spans="1:6" s="49" customFormat="1">
      <c r="A493">
        <v>761603</v>
      </c>
      <c r="B493" t="s">
        <v>1822</v>
      </c>
      <c r="C493">
        <v>760000</v>
      </c>
      <c r="D493" t="s">
        <v>1648</v>
      </c>
      <c r="E493">
        <v>760001</v>
      </c>
      <c r="F493" t="s">
        <v>1649</v>
      </c>
    </row>
    <row r="494" spans="1:6" s="49" customFormat="1">
      <c r="A494">
        <v>761604</v>
      </c>
      <c r="B494" t="s">
        <v>1176</v>
      </c>
      <c r="C494">
        <v>760000</v>
      </c>
      <c r="D494" t="s">
        <v>1648</v>
      </c>
      <c r="E494">
        <v>760005</v>
      </c>
      <c r="F494" t="s">
        <v>1655</v>
      </c>
    </row>
    <row r="495" spans="1:6" s="49" customFormat="1">
      <c r="A495">
        <v>761606</v>
      </c>
      <c r="B495" t="s">
        <v>1171</v>
      </c>
      <c r="C495">
        <v>760000</v>
      </c>
      <c r="D495" t="s">
        <v>1648</v>
      </c>
      <c r="E495">
        <v>760004</v>
      </c>
      <c r="F495" t="s">
        <v>1654</v>
      </c>
    </row>
    <row r="496" spans="1:6" s="49" customFormat="1">
      <c r="A496">
        <v>780001</v>
      </c>
      <c r="B496" t="s">
        <v>1174</v>
      </c>
      <c r="C496">
        <v>780000</v>
      </c>
      <c r="D496" t="s">
        <v>1173</v>
      </c>
      <c r="E496"/>
      <c r="F496"/>
    </row>
    <row r="497" spans="1:6" s="49" customFormat="1">
      <c r="A497">
        <v>780011</v>
      </c>
      <c r="B497" t="s">
        <v>1176</v>
      </c>
      <c r="C497">
        <v>780010</v>
      </c>
      <c r="D497" t="s">
        <v>1175</v>
      </c>
      <c r="E497"/>
      <c r="F497"/>
    </row>
    <row r="498" spans="1:6" s="49" customFormat="1">
      <c r="A498">
        <v>780012</v>
      </c>
      <c r="B498" t="s">
        <v>1177</v>
      </c>
      <c r="C498">
        <v>780010</v>
      </c>
      <c r="D498" t="s">
        <v>1175</v>
      </c>
      <c r="E498"/>
      <c r="F498"/>
    </row>
    <row r="499" spans="1:6" s="49" customFormat="1">
      <c r="A499">
        <v>780013</v>
      </c>
      <c r="B499" t="s">
        <v>1178</v>
      </c>
      <c r="C499">
        <v>780010</v>
      </c>
      <c r="D499" t="s">
        <v>1175</v>
      </c>
      <c r="E499"/>
      <c r="F499"/>
    </row>
    <row r="500" spans="1:6" s="49" customFormat="1">
      <c r="A500">
        <v>780102</v>
      </c>
      <c r="B500" t="s">
        <v>1508</v>
      </c>
      <c r="C500">
        <v>780140</v>
      </c>
      <c r="D500" t="s">
        <v>1656</v>
      </c>
      <c r="E500"/>
      <c r="F500"/>
    </row>
    <row r="501" spans="1:6" s="49" customFormat="1">
      <c r="A501">
        <v>780103</v>
      </c>
      <c r="B501" t="s">
        <v>1657</v>
      </c>
      <c r="C501">
        <v>780150</v>
      </c>
      <c r="D501" t="s">
        <v>1189</v>
      </c>
      <c r="E501"/>
      <c r="F501"/>
    </row>
    <row r="502" spans="1:6" s="49" customFormat="1">
      <c r="A502">
        <v>780109</v>
      </c>
      <c r="B502" t="s">
        <v>1823</v>
      </c>
      <c r="C502"/>
      <c r="D502"/>
      <c r="E502"/>
      <c r="F502"/>
    </row>
    <row r="503" spans="1:6" s="49" customFormat="1">
      <c r="A503">
        <v>780111</v>
      </c>
      <c r="B503" t="s">
        <v>1185</v>
      </c>
      <c r="C503">
        <v>780110</v>
      </c>
      <c r="D503" t="s">
        <v>1184</v>
      </c>
      <c r="E503"/>
      <c r="F503"/>
    </row>
    <row r="504" spans="1:6" s="49" customFormat="1">
      <c r="A504">
        <v>780113</v>
      </c>
      <c r="B504" t="s">
        <v>1658</v>
      </c>
      <c r="C504">
        <v>780140</v>
      </c>
      <c r="D504" t="s">
        <v>1656</v>
      </c>
      <c r="E504"/>
      <c r="F504"/>
    </row>
    <row r="505" spans="1:6" s="49" customFormat="1">
      <c r="A505">
        <v>780120</v>
      </c>
      <c r="B505" t="s">
        <v>1659</v>
      </c>
      <c r="C505">
        <v>780125</v>
      </c>
      <c r="D505" t="s">
        <v>1836</v>
      </c>
      <c r="E505"/>
      <c r="F505"/>
    </row>
    <row r="506" spans="1:6" s="49" customFormat="1">
      <c r="A506">
        <v>780171</v>
      </c>
      <c r="B506" t="s">
        <v>1660</v>
      </c>
      <c r="C506">
        <v>780170</v>
      </c>
      <c r="D506" t="s">
        <v>1192</v>
      </c>
      <c r="E506"/>
      <c r="F506"/>
    </row>
    <row r="507" spans="1:6" s="49" customFormat="1">
      <c r="A507">
        <v>780201</v>
      </c>
      <c r="B507" t="s">
        <v>1195</v>
      </c>
      <c r="C507">
        <v>780200</v>
      </c>
      <c r="D507" t="s">
        <v>1661</v>
      </c>
      <c r="E507"/>
      <c r="F507"/>
    </row>
    <row r="508" spans="1:6" s="49" customFormat="1">
      <c r="A508">
        <v>780301</v>
      </c>
      <c r="B508" t="s">
        <v>1197</v>
      </c>
      <c r="C508">
        <v>780300</v>
      </c>
      <c r="D508" t="s">
        <v>1196</v>
      </c>
      <c r="E508"/>
      <c r="F508"/>
    </row>
    <row r="509" spans="1:6" s="49" customFormat="1">
      <c r="A509">
        <v>780302</v>
      </c>
      <c r="B509" t="s">
        <v>1824</v>
      </c>
      <c r="C509">
        <v>780300</v>
      </c>
      <c r="D509" t="s">
        <v>1196</v>
      </c>
      <c r="E509"/>
      <c r="F509"/>
    </row>
    <row r="510" spans="1:6" s="49" customFormat="1">
      <c r="A510">
        <v>789100</v>
      </c>
      <c r="B510" t="s">
        <v>1825</v>
      </c>
      <c r="C510">
        <v>780200</v>
      </c>
      <c r="D510" t="s">
        <v>1661</v>
      </c>
      <c r="E510"/>
      <c r="F510"/>
    </row>
    <row r="511" spans="1:6" s="49" customFormat="1">
      <c r="A511">
        <v>790000</v>
      </c>
      <c r="B511" t="s">
        <v>1199</v>
      </c>
      <c r="C511"/>
      <c r="D511"/>
      <c r="E511"/>
      <c r="F511"/>
    </row>
    <row r="512" spans="1:6" s="49" customFormat="1">
      <c r="A512">
        <v>790001</v>
      </c>
      <c r="B512" t="s">
        <v>1200</v>
      </c>
      <c r="C512"/>
      <c r="D512"/>
      <c r="E512"/>
      <c r="F512"/>
    </row>
    <row r="513" spans="1:6" s="49" customFormat="1">
      <c r="A513">
        <v>790002</v>
      </c>
      <c r="B513" t="s">
        <v>1201</v>
      </c>
      <c r="C513">
        <v>740000</v>
      </c>
      <c r="D513" t="s">
        <v>1609</v>
      </c>
      <c r="E513">
        <v>740017</v>
      </c>
      <c r="F513" t="s">
        <v>1610</v>
      </c>
    </row>
    <row r="514" spans="1:6" s="49" customFormat="1">
      <c r="A514">
        <v>790005</v>
      </c>
      <c r="B514" t="s">
        <v>1662</v>
      </c>
      <c r="C514"/>
      <c r="D514"/>
      <c r="E514"/>
      <c r="F514"/>
    </row>
    <row r="515" spans="1:6" s="49" customFormat="1">
      <c r="A515">
        <v>790012</v>
      </c>
      <c r="B515" t="s">
        <v>1663</v>
      </c>
      <c r="C515"/>
      <c r="D515"/>
      <c r="E515"/>
      <c r="F515"/>
    </row>
    <row r="516" spans="1:6" s="49" customFormat="1">
      <c r="A516">
        <v>799997</v>
      </c>
      <c r="B516" t="s">
        <v>1203</v>
      </c>
      <c r="C516"/>
      <c r="D516"/>
      <c r="E516"/>
      <c r="F516"/>
    </row>
    <row r="517" spans="1:6" s="49" customFormat="1">
      <c r="A517">
        <v>799998</v>
      </c>
      <c r="B517" t="s">
        <v>1204</v>
      </c>
      <c r="C517"/>
      <c r="D517"/>
      <c r="E517"/>
      <c r="F517"/>
    </row>
    <row r="518" spans="1:6" s="49" customFormat="1">
      <c r="A518">
        <v>799999</v>
      </c>
      <c r="B518" t="s">
        <v>1205</v>
      </c>
      <c r="C518"/>
      <c r="D518"/>
      <c r="E518"/>
      <c r="F518"/>
    </row>
    <row r="519" spans="1:6" s="49" customFormat="1">
      <c r="A519">
        <v>999994</v>
      </c>
      <c r="B519" t="s">
        <v>1208</v>
      </c>
      <c r="C519"/>
      <c r="D519"/>
      <c r="E519"/>
      <c r="F519"/>
    </row>
    <row r="520" spans="1:6" s="49" customFormat="1">
      <c r="A520">
        <v>999995</v>
      </c>
      <c r="B520" t="s">
        <v>1209</v>
      </c>
      <c r="C520"/>
      <c r="D520"/>
      <c r="E520"/>
      <c r="F520"/>
    </row>
    <row r="521" spans="1:6" s="49" customFormat="1">
      <c r="A521">
        <v>999996</v>
      </c>
      <c r="B521" t="s">
        <v>1210</v>
      </c>
      <c r="C521"/>
      <c r="D521"/>
      <c r="E521"/>
      <c r="F521"/>
    </row>
    <row r="522" spans="1:6" s="49" customFormat="1">
      <c r="A522">
        <v>999997</v>
      </c>
      <c r="B522" t="s">
        <v>1211</v>
      </c>
      <c r="C522"/>
      <c r="D522"/>
      <c r="E522"/>
      <c r="F522"/>
    </row>
    <row r="523" spans="1:6" s="49" customFormat="1">
      <c r="A523">
        <v>999998</v>
      </c>
      <c r="B523" t="s">
        <v>1212</v>
      </c>
      <c r="C523"/>
      <c r="D523"/>
      <c r="E523"/>
      <c r="F523"/>
    </row>
    <row r="524" spans="1:6" s="49" customFormat="1">
      <c r="A524">
        <v>999999</v>
      </c>
      <c r="B524" t="s">
        <v>1213</v>
      </c>
      <c r="C524"/>
      <c r="D524"/>
      <c r="E524"/>
      <c r="F524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>
    <tabColor theme="0" tint="-0.499984740745262"/>
    <pageSetUpPr fitToPage="1"/>
  </sheetPr>
  <dimension ref="A1:O55"/>
  <sheetViews>
    <sheetView tabSelected="1" zoomScale="90" zoomScaleNormal="90" workbookViewId="0">
      <selection sqref="A1:J1"/>
    </sheetView>
  </sheetViews>
  <sheetFormatPr defaultColWidth="9.1796875" defaultRowHeight="13"/>
  <cols>
    <col min="1" max="1" width="10.7265625" style="17" customWidth="1"/>
    <col min="2" max="2" width="13.54296875" style="17" customWidth="1"/>
    <col min="3" max="3" width="12.26953125" style="17" bestFit="1" customWidth="1"/>
    <col min="4" max="4" width="14.1796875" style="17" customWidth="1"/>
    <col min="5" max="5" width="19.26953125" style="43" customWidth="1"/>
    <col min="6" max="6" width="19.453125" style="43" bestFit="1" customWidth="1"/>
    <col min="7" max="8" width="14.7265625" style="43" customWidth="1"/>
    <col min="9" max="9" width="19.26953125" style="43" bestFit="1" customWidth="1"/>
    <col min="10" max="10" width="16" style="43" bestFit="1" customWidth="1"/>
    <col min="11" max="11" width="2.26953125" style="17" customWidth="1"/>
    <col min="12" max="12" width="31.453125" style="17" bestFit="1" customWidth="1"/>
    <col min="13" max="13" width="55.7265625" style="17" customWidth="1"/>
    <col min="14" max="14" width="9.1796875" style="17"/>
    <col min="15" max="15" width="0" style="17" hidden="1" customWidth="1"/>
    <col min="16" max="16384" width="9.1796875" style="17"/>
  </cols>
  <sheetData>
    <row r="1" spans="1:15" ht="30.75" customHeight="1" thickBot="1">
      <c r="A1" s="295" t="s">
        <v>1511</v>
      </c>
      <c r="B1" s="295"/>
      <c r="C1" s="295"/>
      <c r="D1" s="295"/>
      <c r="E1" s="295"/>
      <c r="F1" s="295"/>
      <c r="G1" s="295"/>
      <c r="H1" s="295"/>
      <c r="I1" s="295"/>
      <c r="J1" s="295"/>
      <c r="K1" s="91"/>
      <c r="L1" s="92" t="s">
        <v>1350</v>
      </c>
      <c r="M1" s="93" t="s">
        <v>1351</v>
      </c>
      <c r="O1" s="18">
        <f ca="1">TODAY()</f>
        <v>45531</v>
      </c>
    </row>
    <row r="2" spans="1:15" ht="30.75" customHeight="1" thickBot="1">
      <c r="A2" s="296" t="e">
        <f>INDEX(tbl_projects[Description],MATCH(H4,tbl_projects[Concat],0))</f>
        <v>#N/A</v>
      </c>
      <c r="B2" s="296"/>
      <c r="C2" s="296"/>
      <c r="D2" s="296"/>
      <c r="E2" s="296"/>
      <c r="F2" s="296"/>
      <c r="G2" s="296"/>
      <c r="H2" s="296"/>
      <c r="I2" s="296"/>
      <c r="J2" s="296"/>
      <c r="K2" s="91"/>
      <c r="L2" s="94"/>
      <c r="M2" s="95"/>
    </row>
    <row r="3" spans="1:15" ht="14.5">
      <c r="A3" s="300" t="str">
        <f>CONCATENATE("Project Summary as of ",TEXT(M2, "MM/DD/YYYY"))</f>
        <v>Project Summary as of 01/00/1900</v>
      </c>
      <c r="B3" s="300"/>
      <c r="C3" s="300"/>
      <c r="D3" s="300"/>
      <c r="E3" s="300"/>
      <c r="F3" s="300"/>
      <c r="G3" s="300"/>
      <c r="H3" s="300"/>
      <c r="I3" s="300"/>
      <c r="J3" s="300"/>
      <c r="K3" s="91"/>
      <c r="L3" s="96" t="str">
        <f>IFERROR(HYPERLINK(CONCATENATE("https://financials.omni.fsu.edu/psp/sprdfi/EMPLOYEE/ERP/c/CREATE_PROJECTS.PROJECT_GENERAL.GBL?BUSINESS_UNIT=FSU01&amp;PROJECT_ID=",H4,"&amp;PAGE=PROJECT_GEN_01A"),"Project Costing"),"Project Costing")</f>
        <v>Project Costing</v>
      </c>
      <c r="M3" s="97" t="s">
        <v>1352</v>
      </c>
    </row>
    <row r="4" spans="1:15" ht="14.5">
      <c r="A4" s="98" t="s">
        <v>1294</v>
      </c>
      <c r="B4" s="293" t="e">
        <f>INDEX(tbl_projects[Award PI],MATCH(H4,tbl_projects[Concat],0))</f>
        <v>#N/A</v>
      </c>
      <c r="C4" s="293"/>
      <c r="D4" s="99"/>
      <c r="E4" s="100"/>
      <c r="F4" s="101"/>
      <c r="G4" s="102" t="s">
        <v>1295</v>
      </c>
      <c r="H4" s="103"/>
      <c r="I4" s="102" t="s">
        <v>1697</v>
      </c>
      <c r="J4" s="104"/>
      <c r="K4" s="91"/>
      <c r="L4" s="96" t="str">
        <f>IFERROR(HYPERLINK(CONCATENATE("https://financials.omni.fsu.edu/psp/sprdfi/EMPLOYEE/ERP/c/ESTABLISH_AWARDS.GM_AWARD.GBL?BUSINESS_UNIT=FSU01&amp;CONTRACT_NUM=",TEXT(INDEX(tbl_projects[Contract],MATCH('Project Summary'!H4,tbl_projects[Concat],0)),"0000000000"),"&amp;PAGE=GM_AWARD"),"Award Profile"),"Award Profile")</f>
        <v>Award Profile</v>
      </c>
      <c r="M4" s="97" t="s">
        <v>1353</v>
      </c>
    </row>
    <row r="5" spans="1:15" ht="15" thickBot="1">
      <c r="A5" s="98" t="s">
        <v>1296</v>
      </c>
      <c r="B5" s="294" t="e">
        <f>INDEX(tbl_projects[Sponsor],MATCH(H4,tbl_projects[Concat],0))</f>
        <v>#N/A</v>
      </c>
      <c r="C5" s="294"/>
      <c r="D5" s="294"/>
      <c r="E5" s="91"/>
      <c r="F5" s="102" t="e">
        <f>CONCATENATE("Cost Share: ", INDEX(tbl_projects[Cost Share?],MATCH('Project Summary'!H4,tbl_projects[Formatted Project],0)))</f>
        <v>#N/A</v>
      </c>
      <c r="G5" s="102" t="s">
        <v>1297</v>
      </c>
      <c r="H5" s="106" t="e">
        <f>INDEX(tbl_projects[Proj Begin Date],MATCH(H4,tbl_projects[Concat],0))</f>
        <v>#N/A</v>
      </c>
      <c r="I5" s="102" t="s">
        <v>1298</v>
      </c>
      <c r="J5" s="106" t="e">
        <f>INDEX(tbl_projects[Proj End Date],MATCH(H4,tbl_projects[Concat],0))</f>
        <v>#N/A</v>
      </c>
      <c r="K5" s="91"/>
      <c r="L5" s="107" t="str">
        <f>IFERROR(HYPERLINK(CONCATENATE("https://hr.omni.fsu.edu/psp/sprdhr/EMPLOYEE/HRMS/c/ER_MENU.ER_COMM_PROJ.GBL?ER_INSTITUTION=FSU01&amp;ER_PROJECT=",RIGHT(H4,6),"&amp;ER_RPT_ID=EXEMPT&amp;PAGE=ER_COMM_PROJ"),"Commitments"),"Commitments")</f>
        <v>Commitments</v>
      </c>
      <c r="M5" s="108" t="s">
        <v>1354</v>
      </c>
    </row>
    <row r="6" spans="1:15" ht="18.5">
      <c r="A6" s="98"/>
      <c r="B6" s="105"/>
      <c r="C6" s="105"/>
      <c r="D6" s="105"/>
      <c r="E6" s="91" t="s">
        <v>1733</v>
      </c>
      <c r="F6" s="109">
        <f>I27/(1+C26)</f>
        <v>0</v>
      </c>
      <c r="G6" s="102"/>
      <c r="H6" s="106"/>
      <c r="I6" s="102"/>
      <c r="J6" s="106"/>
      <c r="K6" s="91"/>
      <c r="L6" s="110"/>
      <c r="M6" s="111"/>
    </row>
    <row r="7" spans="1:15" ht="14.5">
      <c r="A7" s="112"/>
      <c r="B7" s="113"/>
      <c r="C7" s="113"/>
      <c r="D7" s="114"/>
      <c r="E7" s="297" t="s">
        <v>1718</v>
      </c>
      <c r="F7" s="298"/>
      <c r="G7" s="298"/>
      <c r="H7" s="298"/>
      <c r="I7" s="299"/>
      <c r="J7" s="115" t="s">
        <v>1719</v>
      </c>
      <c r="K7" s="91"/>
      <c r="L7" s="110"/>
      <c r="M7" s="111"/>
    </row>
    <row r="8" spans="1:15">
      <c r="A8" s="301" t="s">
        <v>1396</v>
      </c>
      <c r="B8" s="302"/>
      <c r="C8" s="302"/>
      <c r="D8" s="303"/>
      <c r="E8" s="116" t="s">
        <v>1299</v>
      </c>
      <c r="F8" s="117" t="s">
        <v>1686</v>
      </c>
      <c r="G8" s="117" t="s">
        <v>1467</v>
      </c>
      <c r="H8" s="117" t="s">
        <v>1301</v>
      </c>
      <c r="I8" s="118" t="s">
        <v>1302</v>
      </c>
      <c r="J8" s="119"/>
      <c r="K8" s="91"/>
      <c r="L8" s="91"/>
      <c r="M8" s="91"/>
    </row>
    <row r="9" spans="1:15">
      <c r="A9" s="276" t="s">
        <v>1303</v>
      </c>
      <c r="B9" s="277"/>
      <c r="C9" s="277"/>
      <c r="D9" s="278"/>
      <c r="E9" s="120">
        <f>E10+E11</f>
        <v>0</v>
      </c>
      <c r="F9" s="121">
        <f>F10+F11</f>
        <v>0</v>
      </c>
      <c r="G9" s="121">
        <f>G10+G11</f>
        <v>0</v>
      </c>
      <c r="H9" s="121">
        <f>H10+H11</f>
        <v>0</v>
      </c>
      <c r="I9" s="122">
        <f>E9-F9-G9-H9</f>
        <v>0</v>
      </c>
      <c r="J9" s="123">
        <f>SUM(J10:J11)</f>
        <v>0</v>
      </c>
      <c r="K9" s="91"/>
      <c r="L9" s="91"/>
      <c r="M9" s="91"/>
    </row>
    <row r="10" spans="1:15">
      <c r="A10" s="124"/>
      <c r="B10" s="99" t="s">
        <v>1398</v>
      </c>
      <c r="C10" s="99"/>
      <c r="D10" s="125"/>
      <c r="E10" s="126">
        <f>IF(J4="",(SUMIFS(tbl_proj_bud[Cumul Amount],tbl_proj_bud[Formatted Project],H4,tbl_proj_bud[Res Category],"Salaries")+SUMIFS(tbl_proj_bud[Cumul Amount],tbl_proj_bud[Formatted Project],H4,tbl_proj_bud[Res Category],"Senior Personnel")),(SUMIFS(tbl_proj_bud[Cumul Amount],tbl_proj_bud[Formatted Project],H4,tbl_proj_bud[Res Category],"Salaries",tbl_proj_bud[Fund],J4)+SUMIFS(tbl_proj_bud[Cumul Amount],tbl_proj_bud[Formatted Project],H4,tbl_proj_bud[Res Category],"Senior Personnel",tbl_proj_bud[Fund],J4)))</f>
        <v>0</v>
      </c>
      <c r="F10" s="127">
        <f>IF($J$4="",(SUMIFS(tbl_ProjEncumbrances[Total Remaining],tbl_ProjEncumbrances[Budgetary Account],B10,tbl_ProjEncumbrances[Combo],$H$4)),(SUMIFS(tbl_ProjEncumbrances[Total Remaining],tbl_ProjEncumbrances[Budgetary Account],B10,tbl_ProjEncumbrances[Combo],$H$4,tbl_ProjEncumbrances[[ Fund]],$J$4)))</f>
        <v>0</v>
      </c>
      <c r="G10" s="127">
        <f>IF(J4="",SUMIFS(tbl_TransDet_Enc[Amount],tbl_TransDet_Enc[SR Type],"Key Personnel",tbl_TransDet_Enc[Project Id],RIGHT($H$4,6)),SUMIFS(tbl_TransDet_Enc[Amount],tbl_TransDet_Enc[SR Type],"Key Personnel",tbl_TransDet_Enc[Project Id],RIGHT($H$4,6),tbl_TransDet_Enc[Fund Code],J4))</f>
        <v>0</v>
      </c>
      <c r="H10" s="127">
        <f>IF(J4="",(SUMIFS(tbl_TransDet_Exp[Amount],tbl_TransDet_Exp[SR Type],"Key Personnel",tbl_TransDet_Exp[Project Id],RIGHT($H$4,6))),(SUMIFS(tbl_TransDet_Exp[Amount],tbl_TransDet_Exp[SR Type],"Key Personnel",tbl_TransDet_Exp[Project Id],RIGHT($H$4,6),tbl_TransDet_Exp[Fund Id],J4)))</f>
        <v>0</v>
      </c>
      <c r="I10" s="128">
        <f>E10-F10-G10-H10</f>
        <v>0</v>
      </c>
      <c r="J10" s="129">
        <f>IF(J4="",(SUMIFS(tbl_TransDet_Exp[Amount],tbl_TransDet_Exp[SR Type],"Key Personnel-Salary",tbl_TransDet_Exp[Project Id],RIGHT($H$4,6),tbl_TransDet_Exp[FY_pd Combo],MAX(tbl_TransDet_Exp[FY_pd Combo]))+SUMIFS(tbl_TransDet_Exp[Amount],tbl_TransDet_Exp[SR Type],"Key Personnel-Fringe",tbl_TransDet_Exp[Project Id],RIGHT($H$4,6),tbl_TransDet_Exp[FY_pd Combo],MAX(tbl_TransDet_Exp[FY_pd Combo]))),(SUMIFS(tbl_TransDet_Exp[Amount],tbl_TransDet_Exp[SR Type],"Key Personnel-Salary",tbl_TransDet_Exp[Project Id],RIGHT($H$4,6),tbl_TransDet_Exp[Fund Id],J4,tbl_TransDet_Exp[FY_pd Combo],MAX(tbl_TransDet_Exp[FY_pd Combo]))+SUMIFS(tbl_TransDet_Exp[Amount],tbl_TransDet_Exp[SR Type],"Key Personnel-Fringe",tbl_TransDet_Exp[Project Id],RIGHT($H$4,6),tbl_TransDet_Exp[Fund Id],J4,tbl_TransDet_Exp[FY_pd Combo],MAX(tbl_TransDet_Exp[FY_pd Combo]))))</f>
        <v>0</v>
      </c>
      <c r="K10" s="91"/>
      <c r="L10" s="91"/>
      <c r="M10" s="91"/>
    </row>
    <row r="11" spans="1:15">
      <c r="A11" s="124"/>
      <c r="B11" s="99" t="s">
        <v>1399</v>
      </c>
      <c r="C11" s="99"/>
      <c r="D11" s="125"/>
      <c r="E11" s="126">
        <f>IF(J4="",SUMIFS(tbl_proj_bud[Cumul Amount],tbl_proj_bud[Formatted Project],'Project Summary'!H4,tbl_proj_bud[Budget Category],"Other Personnel-Salary"),SUMIFS(tbl_proj_bud[Cumul Amount],tbl_proj_bud[Formatted Project],'Project Summary'!H4,tbl_proj_bud[Budget Category],"Other Personnel-Salary",tbl_proj_bud[Fund],J4))</f>
        <v>0</v>
      </c>
      <c r="F11" s="127">
        <f>IF($J$4="",(SUMIFS(tbl_ProjEncumbrances[Total Remaining],tbl_ProjEncumbrances[Budgetary Account],B11,tbl_ProjEncumbrances[Combo],$H$4)),(SUMIFS(tbl_ProjEncumbrances[Total Remaining],tbl_ProjEncumbrances[Budgetary Account],B11,tbl_ProjEncumbrances[Combo],$H$4,tbl_ProjEncumbrances[[ Fund]],$J$4)))</f>
        <v>0</v>
      </c>
      <c r="G11" s="127">
        <f>IF(J4="",SUMIFS(tbl_TransDet_Enc[Amount],tbl_TransDet_Enc[SR Type],"Other Personnel",tbl_TransDet_Enc[Project Id],RIGHT($H$4,6)),SUMIFS(tbl_TransDet_Enc[Amount],tbl_TransDet_Enc[SR Type],"Other Personnel",tbl_TransDet_Enc[Project Id],RIGHT($H$4,6),tbl_TransDet_Enc[Fund Code],J4))</f>
        <v>0</v>
      </c>
      <c r="H11" s="127">
        <f>IF(J4="",(SUMIFS(tbl_TransDet_Exp[Amount],tbl_TransDet_Exp[SR Type],"Other Personnel",tbl_TransDet_Exp[Project Id],RIGHT($H$4,6))),(SUMIFS(tbl_TransDet_Exp[Amount],tbl_TransDet_Exp[SR Type],"Other Personnel",tbl_TransDet_Exp[Project Id],RIGHT($H$4,6),tbl_TransDet_Exp[Fund Id],J4)))</f>
        <v>0</v>
      </c>
      <c r="I11" s="128">
        <f t="shared" ref="I11:I24" si="0">E11-F11-G11-H11</f>
        <v>0</v>
      </c>
      <c r="J11" s="129">
        <f>IF(J4="",(SUMIFS(tbl_TransDet_Exp[Amount],tbl_TransDet_Exp[SR Type],"Other Personnel-Salary",tbl_TransDet_Exp[Project Id],RIGHT($H$4,6),tbl_TransDet_Exp[FY_pd Combo],MAX(tbl_TransDet_Exp[FY_pd Combo]))+SUMIFS(tbl_TransDet_Exp[Amount],tbl_TransDet_Exp[SR Type],"Other Personnel-Fringe",tbl_TransDet_Exp[Project Id],RIGHT($H$4,6),tbl_TransDet_Exp[FY_pd Combo],MAX(tbl_TransDet_Exp[FY_pd Combo]))),(SUMIFS(tbl_TransDet_Exp[Amount],tbl_TransDet_Exp[SR Type],"Other Personnel-Salary",tbl_TransDet_Exp[Project Id],RIGHT($H$4,6),tbl_TransDet_Exp[Fund Id],J4,tbl_TransDet_Exp[FY_pd Combo],MAX(tbl_TransDet_Exp[FY_pd Combo]))+SUMIFS(tbl_TransDet_Exp[Amount],tbl_TransDet_Exp[SR Type],"Other Personnel-Fringe",tbl_TransDet_Exp[Project Id],RIGHT($H$4,6),tbl_TransDet_Exp[Fund Id],J4,tbl_TransDet_Exp[FY_pd Combo],MAX(tbl_TransDet_Exp[FY_pd Combo]))))</f>
        <v>0</v>
      </c>
      <c r="K11" s="91"/>
      <c r="L11" s="91"/>
      <c r="M11" s="91"/>
    </row>
    <row r="12" spans="1:15">
      <c r="A12" s="276" t="s">
        <v>1304</v>
      </c>
      <c r="B12" s="277"/>
      <c r="C12" s="277"/>
      <c r="D12" s="278"/>
      <c r="E12" s="130">
        <f>IF(J4="",SUMIFS(tbl_proj_bud[Cumul Amount],tbl_proj_bud[Formatted Project],'Project Summary'!H4,tbl_proj_bud[Budget Category],"Equipment"),SUMIFS(tbl_proj_bud[Cumul Amount],tbl_proj_bud[Formatted Project],'Project Summary'!H4,tbl_proj_bud[Budget Category],"Equipment",tbl_proj_bud[Fund],J4))</f>
        <v>0</v>
      </c>
      <c r="F12" s="131">
        <f>IF($J$4="",(SUMIFS(tbl_ProjEncumbrances[Total Remaining],tbl_ProjEncumbrances[Budgetary Account],"Equipment",tbl_ProjEncumbrances[Combo],$H$4)),(SUMIFS(tbl_ProjEncumbrances[Total Remaining],tbl_ProjEncumbrances[Budgetary Account],"Equipment",tbl_ProjEncumbrances[Combo],$H$4,tbl_ProjEncumbrances[[ Fund]],$J$4)))</f>
        <v>0</v>
      </c>
      <c r="G12" s="131">
        <f>IF(J4="",SUMIFS(tbl_TransDet_Enc[Amount],tbl_TransDet_Enc[SR Type],"Equipment",tbl_TransDet_Enc[Project Id],RIGHT($H$4,6)),SUMIFS(tbl_TransDet_Enc[Amount],tbl_TransDet_Enc[SR Type],"Equipment",tbl_TransDet_Enc[Project Id],RIGHT($H$4,6),tbl_TransDet_Enc[Fund Code],J4))</f>
        <v>0</v>
      </c>
      <c r="H12" s="131">
        <f>IF(J4="",SUMIFS(tbl_TransDet_Exp[Amount],tbl_TransDet_Exp[SR Type],"Equipment",tbl_TransDet_Exp[Project Id],RIGHT($H$4,6)),SUMIFS(tbl_TransDet_Exp[Amount],tbl_TransDet_Exp[SR Type],"Equipment",tbl_TransDet_Exp[Project Id],RIGHT($H$4,6),tbl_TransDet_Exp[Fund Id],J4))</f>
        <v>0</v>
      </c>
      <c r="I12" s="122">
        <f t="shared" si="0"/>
        <v>0</v>
      </c>
      <c r="J12" s="123">
        <f>IF(J4="",SUMIFS(tbl_TransDet_Exp[Amount],tbl_TransDet_Exp[SR Type],"Equipment",tbl_TransDet_Exp[Project Id],RIGHT($H$4,6),tbl_TransDet_Exp[FY_pd Combo],MAX(tbl_TransDet_Exp[FY_pd Combo])),SUMIFS(tbl_TransDet_Exp[Amount],tbl_TransDet_Exp[SR Type],"Equipment",tbl_TransDet_Exp[Project Id],RIGHT($H$4,6),tbl_TransDet_Exp[Fund Id],J4,tbl_TransDet_Exp[FY_pd Combo],MAX(tbl_TransDet_Exp[FY_pd Combo])))</f>
        <v>0</v>
      </c>
      <c r="K12" s="91"/>
      <c r="L12" s="91"/>
      <c r="M12" s="91"/>
    </row>
    <row r="13" spans="1:15">
      <c r="A13" s="132" t="s">
        <v>1306</v>
      </c>
      <c r="B13" s="133"/>
      <c r="C13" s="133"/>
      <c r="D13" s="134"/>
      <c r="E13" s="120">
        <f>IF(J4="",SUMIFS(tbl_proj_bud[Cumul Amount],tbl_proj_bud[Formatted Project],'Project Summary'!H4,tbl_proj_bud[Budget Category],"Travel"),SUMIFS(tbl_proj_bud[Cumul Amount],tbl_proj_bud[Formatted Project],'Project Summary'!H4,tbl_proj_bud[Budget Category],"Travel",tbl_proj_bud[Fund],J4))</f>
        <v>0</v>
      </c>
      <c r="F13" s="121">
        <f>IF($J$4="",(SUMIFS(tbl_ProjEncumbrances[Total Remaining],tbl_ProjEncumbrances[Budgetary Account],"Travel",tbl_ProjEncumbrances[Combo],$H$4)),(SUMIFS(tbl_ProjEncumbrances[Total Remaining],tbl_ProjEncumbrances[Budgetary Account],"Travel",tbl_ProjEncumbrances[Combo],$H$4,tbl_ProjEncumbrances[[ Fund]],$J$4)))</f>
        <v>0</v>
      </c>
      <c r="G13" s="121">
        <f>IF(J4="",SUMIFS(tbl_TransDet_Enc[Amount],tbl_TransDet_Enc[SR Type],"Travel",tbl_TransDet_Enc[Project Id],RIGHT($H$4,6)),SUMIFS(tbl_TransDet_Enc[Amount],tbl_TransDet_Enc[SR Type],"Travel",tbl_TransDet_Enc[Project Id],RIGHT($H$4,6),tbl_TransDet_Enc[Fund Code],J4))</f>
        <v>0</v>
      </c>
      <c r="H13" s="121">
        <f>IF(J4="",SUMIFS(tbl_TransDet_Exp[Amount],tbl_TransDet_Exp[SR Type],"Travel",tbl_TransDet_Exp[Project Id],RIGHT($H$4,6)),SUMIFS(tbl_TransDet_Exp[Amount],tbl_TransDet_Exp[SR Type],"Travel",tbl_TransDet_Exp[Project Id],RIGHT($H$4,6),tbl_TransDet_Exp[Fund Id],J4))</f>
        <v>0</v>
      </c>
      <c r="I13" s="122">
        <f t="shared" si="0"/>
        <v>0</v>
      </c>
      <c r="J13" s="123">
        <f>IF(J4="",SUMIFS(tbl_TransDet_Exp[Amount],tbl_TransDet_Exp[SR Type],"Travel",tbl_TransDet_Exp[Project Id],RIGHT($H$4,6),tbl_TransDet_Exp[FY_pd Combo],MAX(tbl_TransDet_Exp[FY_pd Combo])),SUMIFS(tbl_TransDet_Exp[Amount],tbl_TransDet_Exp[SR Type],"Travel",tbl_TransDet_Exp[Project Id],RIGHT($H$4,6),tbl_TransDet_Exp[Fund Id],J4,tbl_TransDet_Exp[FY_pd Combo],MAX(tbl_TransDet_Exp[FY_pd Combo])))</f>
        <v>0</v>
      </c>
      <c r="K13" s="91"/>
      <c r="L13" s="91"/>
      <c r="M13" s="91"/>
    </row>
    <row r="14" spans="1:15">
      <c r="A14" s="132" t="s">
        <v>1309</v>
      </c>
      <c r="B14" s="133"/>
      <c r="C14" s="133"/>
      <c r="D14" s="134"/>
      <c r="E14" s="120">
        <f>SUM(E15:E24)</f>
        <v>0</v>
      </c>
      <c r="F14" s="121">
        <f>SUM(F15:F24)</f>
        <v>0</v>
      </c>
      <c r="G14" s="121">
        <f>SUM(G15:G24)</f>
        <v>0</v>
      </c>
      <c r="H14" s="121">
        <f>SUM(H15:H24)</f>
        <v>0</v>
      </c>
      <c r="I14" s="122">
        <f t="shared" si="0"/>
        <v>0</v>
      </c>
      <c r="J14" s="123">
        <f>SUM(J15:J24)</f>
        <v>0</v>
      </c>
      <c r="K14" s="91"/>
      <c r="L14" s="91"/>
      <c r="M14" s="91"/>
    </row>
    <row r="15" spans="1:15">
      <c r="A15" s="124"/>
      <c r="B15" s="135" t="s">
        <v>1310</v>
      </c>
      <c r="C15" s="135"/>
      <c r="D15" s="136" t="s">
        <v>1305</v>
      </c>
      <c r="E15" s="126">
        <f>IF(J4="",SUMIFS(tbl_proj_bud[Cumul Amount],tbl_proj_bud[Formatted Project],'Project Summary'!H4,tbl_proj_bud[Budget Category],"Tuition"),SUMIFS(tbl_proj_bud[Cumul Amount],tbl_proj_bud[Formatted Project],'Project Summary'!H4,tbl_proj_bud[Budget Category],"Tuition",tbl_proj_bud[Fund],J4))</f>
        <v>0</v>
      </c>
      <c r="F15" s="127">
        <f>IF($J$4="",(SUMIFS(tbl_ProjEncumbrances[Total Remaining],tbl_ProjEncumbrances[Budgetary Account],RIGHT(B15,LEN(B15)-3),tbl_ProjEncumbrances[Combo],$H$4)),(SUMIFS(tbl_ProjEncumbrances[Total Remaining],tbl_ProjEncumbrances[Budgetary Account],RIGHT(B15,LEN(B15)-3),tbl_ProjEncumbrances[Combo],$H$4,tbl_ProjEncumbrances[[ Fund]],$J$4)))</f>
        <v>0</v>
      </c>
      <c r="G15" s="127">
        <f>IF(J4="",SUMIFS(tbl_TransDet_Enc[Amount],tbl_TransDet_Enc[SR Type],"Tuition",tbl_TransDet_Enc[Project Id],RIGHT($H$4,6)),SUMIFS(tbl_TransDet_Enc[Amount],tbl_TransDet_Enc[SR Type],"Tuition",tbl_TransDet_Enc[Project Id],RIGHT($H$4,6),tbl_TransDet_Enc[Fund Code],J4))</f>
        <v>0</v>
      </c>
      <c r="H15" s="127">
        <f>IF(J4="",SUMIFS(tbl_TransDet_Exp[Amount],tbl_TransDet_Exp[SR Type],"Tuition",tbl_TransDet_Exp[Project Id],RIGHT($H$4,6)),SUMIFS(tbl_TransDet_Exp[Amount],tbl_TransDet_Exp[SR Type],"Tuition",tbl_TransDet_Exp[Project Id],RIGHT($H$4,6),tbl_TransDet_Exp[Fund Id],J4))</f>
        <v>0</v>
      </c>
      <c r="I15" s="128">
        <f t="shared" si="0"/>
        <v>0</v>
      </c>
      <c r="J15" s="129">
        <f>IF(J4="",SUMIFS(tbl_TransDet_Exp[Amount],tbl_TransDet_Exp[SR Type],"Tuition",tbl_TransDet_Exp[Project Id],RIGHT($H$4,6),tbl_TransDet_Exp[FY_pd Combo],MAX(tbl_TransDet_Exp[FY_pd Combo])),SUMIFS(tbl_TransDet_Exp[Amount],tbl_TransDet_Exp[SR Type],"Tuition",tbl_TransDet_Exp[Project Id],RIGHT($H$4,6),tbl_TransDet_Exp[Fund Id],J4,tbl_TransDet_Exp[FY_pd Combo],MAX(tbl_TransDet_Exp[FY_pd Combo])))</f>
        <v>0</v>
      </c>
      <c r="K15" s="91"/>
      <c r="L15" s="91"/>
      <c r="M15" s="91"/>
    </row>
    <row r="16" spans="1:15">
      <c r="A16" s="124"/>
      <c r="B16" s="99" t="s">
        <v>1311</v>
      </c>
      <c r="C16" s="99"/>
      <c r="D16" s="125"/>
      <c r="E16" s="126">
        <f>IF(J4="",SUMIFS(tbl_proj_bud[Cumul Amount],tbl_proj_bud[Formatted Project],'Project Summary'!H4,tbl_proj_bud[Budget Category],"Materials and Supplies"),SUMIFS(tbl_proj_bud[Cumul Amount],tbl_proj_bud[Formatted Project],'Project Summary'!H4,tbl_proj_bud[Budget Category],"Materials and Supplies",tbl_proj_bud[Fund],J4))</f>
        <v>0</v>
      </c>
      <c r="F16" s="127">
        <f>IF($J$4="",(SUMIFS(tbl_ProjEncumbrances[Total Remaining],tbl_ProjEncumbrances[Budgetary Account],RIGHT(B16,LEN(B16)-3),tbl_ProjEncumbrances[Combo],$H$4)),(SUMIFS(tbl_ProjEncumbrances[Total Remaining],tbl_ProjEncumbrances[Budgetary Account],RIGHT(B16,LEN(B16)-3),tbl_ProjEncumbrances[Combo],$H$4,tbl_ProjEncumbrances[[ Fund]],$J$4)))</f>
        <v>0</v>
      </c>
      <c r="G16" s="127">
        <f>IF(J4="",SUMIFS(tbl_TransDet_Enc[Amount],tbl_TransDet_Enc[SR Type],"Materials and Supplies",tbl_TransDet_Enc[Project Id],RIGHT($H$4,6)),SUMIFS(tbl_TransDet_Enc[Amount],tbl_TransDet_Enc[SR Type],"Materials and Supplies",tbl_TransDet_Enc[Project Id],RIGHT($H$4,6),tbl_TransDet_Enc[Fund Code],J4))</f>
        <v>0</v>
      </c>
      <c r="H16" s="127">
        <f>IF(J4="",SUMIFS(tbl_TransDet_Exp[Amount],tbl_TransDet_Exp[SR Type],"Materials and Supplies",tbl_TransDet_Exp[Project Id],RIGHT($H$4,6)),SUMIFS(tbl_TransDet_Exp[Amount],tbl_TransDet_Exp[SR Type],"Materials and Supplies",tbl_TransDet_Exp[Project Id],RIGHT($H$4,6),tbl_TransDet_Exp[Fund Id],J4))</f>
        <v>0</v>
      </c>
      <c r="I16" s="128">
        <f t="shared" si="0"/>
        <v>0</v>
      </c>
      <c r="J16" s="129">
        <f>IF(J4="",SUMIFS(tbl_TransDet_Exp[Amount],tbl_TransDet_Exp[SR Type],"Materials and Supplies",tbl_TransDet_Exp[Project Id],RIGHT($H$4,6),tbl_TransDet_Exp[FY_pd Combo],MAX(tbl_TransDet_Exp[FY_pd Combo])),SUMIFS(tbl_TransDet_Exp[Amount],tbl_TransDet_Exp[SR Type],"Materials and Supplies",tbl_TransDet_Exp[Project Id],RIGHT($H$4,6),tbl_TransDet_Exp[Fund Id],J4,tbl_TransDet_Exp[FY_pd Combo],MAX(tbl_TransDet_Exp[FY_pd Combo])))</f>
        <v>0</v>
      </c>
      <c r="K16" s="91"/>
      <c r="L16" s="91"/>
      <c r="M16" s="91"/>
    </row>
    <row r="17" spans="1:13">
      <c r="A17" s="124"/>
      <c r="B17" s="99" t="s">
        <v>1848</v>
      </c>
      <c r="C17" s="99"/>
      <c r="D17" s="125"/>
      <c r="E17" s="126">
        <f>IF(J4="",SUMIFS(tbl_proj_bud[Cumul Amount],tbl_proj_bud[Formatted Project],'Project Summary'!H4,tbl_proj_bud[Budget Category],"Publications"),SUMIFS(tbl_proj_bud[Cumul Amount],tbl_proj_bud[Formatted Project],'Project Summary'!H4,tbl_proj_bud[Budget Category],"Publications",tbl_proj_bud[Fund],J4))</f>
        <v>0</v>
      </c>
      <c r="F17" s="127">
        <f>IF($J$4="",(SUMIFS(tbl_ProjEncumbrances[Total Remaining],tbl_ProjEncumbrances[Budgetary Account],RIGHT(B17,LEN(B17)-3),tbl_ProjEncumbrances[Combo],$H$4)),(SUMIFS(tbl_ProjEncumbrances[Total Remaining],tbl_ProjEncumbrances[Budgetary Account],RIGHT(B17,LEN(B17)-3),tbl_ProjEncumbrances[Combo],$H$4,tbl_ProjEncumbrances[[ Fund]],$J$4)))</f>
        <v>0</v>
      </c>
      <c r="G17" s="127">
        <f>IF(J4="",SUMIFS(tbl_TransDet_Enc[Amount],tbl_TransDet_Enc[SR Type],"Publication",tbl_TransDet_Enc[Project Id],RIGHT($H$4,6)),SUMIFS(tbl_TransDet_Enc[Amount],tbl_TransDet_Enc[SR Type],"Publication",tbl_TransDet_Enc[Project Id],RIGHT($H$4,6),tbl_TransDet_Enc[Fund Code],J4))</f>
        <v>0</v>
      </c>
      <c r="H17" s="127">
        <f>IF(J4="",SUMIFS(tbl_TransDet_Exp[Amount],tbl_TransDet_Exp[SR Type],"Publication",tbl_TransDet_Exp[Project Id],RIGHT($H$4,6)),SUMIFS(tbl_TransDet_Exp[Amount],tbl_TransDet_Exp[SR Type],"Publication",tbl_TransDet_Exp[Project Id],RIGHT($H$4,6),tbl_TransDet_Exp[Fund Id],J4))</f>
        <v>0</v>
      </c>
      <c r="I17" s="128">
        <f t="shared" si="0"/>
        <v>0</v>
      </c>
      <c r="J17" s="129">
        <f>IF(J4="",SUMIFS(tbl_TransDet_Exp[Amount],tbl_TransDet_Exp[SR Type],"Publication",tbl_TransDet_Exp[Project Id],RIGHT($H$4,6),tbl_TransDet_Exp[FY_pd Combo],MAX(tbl_TransDet_Exp[FY_pd Combo])),SUMIFS(tbl_TransDet_Exp[Amount],tbl_TransDet_Exp[SR Type],"Publication",tbl_TransDet_Exp[Project Id],RIGHT($H$4,6),tbl_TransDet_Exp[Fund Id],J4,tbl_TransDet_Exp[FY_pd Combo],MAX(tbl_TransDet_Exp[FY_pd Combo])))</f>
        <v>0</v>
      </c>
      <c r="K17" s="91"/>
      <c r="L17" s="91"/>
      <c r="M17" s="91"/>
    </row>
    <row r="18" spans="1:13">
      <c r="A18" s="124"/>
      <c r="B18" s="99" t="s">
        <v>1849</v>
      </c>
      <c r="C18" s="99"/>
      <c r="D18" s="125"/>
      <c r="E18" s="126">
        <f>IF(J4="",SUMIFS(tbl_proj_bud[Cumul Amount],tbl_proj_bud[Formatted Project],'Project Summary'!H4,tbl_proj_bud[Budget Category],"Consultant Services"),SUMIFS(tbl_proj_bud[Cumul Amount],tbl_proj_bud[Formatted Project],'Project Summary'!H4,tbl_proj_bud[Budget Category],"Consultant Services",tbl_proj_bud[Fund],J4))</f>
        <v>0</v>
      </c>
      <c r="F18" s="127">
        <f>IF($J$4="",(SUMIFS(tbl_ProjEncumbrances[Total Remaining],tbl_ProjEncumbrances[Budgetary Account],RIGHT(B18,LEN(B18)-3),tbl_ProjEncumbrances[Combo],$H$4)),(SUMIFS(tbl_ProjEncumbrances[Total Remaining],tbl_ProjEncumbrances[Budgetary Account],RIGHT(B18,LEN(B18)-3),tbl_ProjEncumbrances[Combo],$H$4,tbl_ProjEncumbrances[[ Fund]],$J$4)))</f>
        <v>0</v>
      </c>
      <c r="G18" s="127">
        <f>IF(J4="",SUMIFS(tbl_TransDet_Enc[Amount],tbl_TransDet_Enc[SR Type],"Contractual Svcs",tbl_TransDet_Enc[Project Id],RIGHT($H$4,6)),SUMIFS(tbl_TransDet_Enc[Amount],tbl_TransDet_Enc[SR Type],"Contractual Svcs",tbl_TransDet_Enc[Project Id],RIGHT($H$4,6),tbl_TransDet_Enc[Fund Code],J4))</f>
        <v>0</v>
      </c>
      <c r="H18" s="127">
        <f>IF(J4="",SUMIFS(tbl_TransDet_Exp[Amount],tbl_TransDet_Exp[SR Type],"Contractual Svcs",tbl_TransDet_Exp[Project Id],RIGHT($H$4,6)),SUMIFS(tbl_TransDet_Exp[Amount],tbl_TransDet_Exp[SR Type],"Contractual Svcs",tbl_TransDet_Exp[Project Id],RIGHT($H$4,6),tbl_TransDet_Exp[Fund Id],J4))</f>
        <v>0</v>
      </c>
      <c r="I18" s="128">
        <f t="shared" si="0"/>
        <v>0</v>
      </c>
      <c r="J18" s="129">
        <f>IF(J4="",SUMIFS(tbl_TransDet_Exp[Amount],tbl_TransDet_Exp[SR Type],"Contractual Svcs",tbl_TransDet_Exp[Project Id],RIGHT($H$4,6),tbl_TransDet_Exp[FY_pd Combo],MAX(tbl_TransDet_Exp[FY_pd Combo])),SUMIFS(tbl_TransDet_Exp[Amount],tbl_TransDet_Exp[SR Type],"Contractual Svcs",tbl_TransDet_Exp[Project Id],RIGHT($H$4,6),tbl_TransDet_Exp[Fund Id],J4,tbl_TransDet_Exp[FY_pd Combo],MAX(tbl_TransDet_Exp[FY_pd Combo])))</f>
        <v>0</v>
      </c>
      <c r="K18" s="91"/>
      <c r="L18" s="137"/>
      <c r="M18" s="91"/>
    </row>
    <row r="19" spans="1:13">
      <c r="A19" s="124"/>
      <c r="B19" s="99" t="s">
        <v>1850</v>
      </c>
      <c r="C19" s="99"/>
      <c r="D19" s="125"/>
      <c r="E19" s="126">
        <f>IF(J4="",SUMIFS(tbl_proj_bud[Cumul Amount],tbl_proj_bud[Formatted Project],'Project Summary'!H4,tbl_proj_bud[Budget Category],"Subrecipients"),SUMIFS(tbl_proj_bud[Cumul Amount],tbl_proj_bud[Formatted Project],'Project Summary'!H4,tbl_proj_bud[Budget Category],"Subrecipients",tbl_proj_bud[Fund],J4))</f>
        <v>0</v>
      </c>
      <c r="F19" s="127">
        <f>IF($J$4="",(SUMIFS(tbl_ProjEncumbrances[Total Remaining],tbl_ProjEncumbrances[Budgetary Account],RIGHT(B19,LEN(B19)-3),tbl_ProjEncumbrances[Combo],$H$4)),(SUMIFS(tbl_ProjEncumbrances[Total Remaining],tbl_ProjEncumbrances[Budgetary Account],RIGHT(B19,LEN(B19)-3),tbl_ProjEncumbrances[Combo],$H$4,tbl_ProjEncumbrances[[ Fund]],$J$4)))</f>
        <v>0</v>
      </c>
      <c r="G19" s="127">
        <f>IF(J4="",SUMIFS(tbl_TransDet_Enc[Amount],tbl_TransDet_Enc[SR Type],"Subawards",tbl_TransDet_Enc[Project Id],RIGHT($H$4,6)),SUMIFS(tbl_TransDet_Enc[Amount],tbl_TransDet_Enc[SR Type],"Subawards",tbl_TransDet_Enc[Project Id],RIGHT($H$4,6),tbl_TransDet_Enc[Fund Code],J4))</f>
        <v>0</v>
      </c>
      <c r="H19" s="127">
        <f>IF(J4="",SUMIFS(tbl_TransDet_Exp[Amount],tbl_TransDet_Exp[SR Type],"Subawards",tbl_TransDet_Exp[Project Id],RIGHT($H$4,6)),SUMIFS(tbl_TransDet_Exp[Amount],tbl_TransDet_Exp[SR Type],"Subawards",tbl_TransDet_Exp[Project Id],RIGHT($H$4,6),tbl_TransDet_Exp[Fund Id],J4))</f>
        <v>0</v>
      </c>
      <c r="I19" s="128">
        <f t="shared" si="0"/>
        <v>0</v>
      </c>
      <c r="J19" s="129">
        <f>IF(J4="",SUMIFS(tbl_TransDet_Exp[Amount],tbl_TransDet_Exp[SR Type],"Subawards",tbl_TransDet_Exp[Project Id],RIGHT($H$4,6),tbl_TransDet_Exp[FY_pd Combo],MAX(tbl_TransDet_Exp[FY_pd Combo])),SUMIFS(tbl_TransDet_Exp[Amount],tbl_TransDet_Exp[SR Type],"Subawards",tbl_TransDet_Exp[Project Id],RIGHT($H$4,6),tbl_TransDet_Exp[Fund Id],J4,tbl_TransDet_Exp[FY_pd Combo],MAX(tbl_TransDet_Exp[FY_pd Combo])))</f>
        <v>0</v>
      </c>
      <c r="K19" s="91"/>
      <c r="L19" s="91"/>
      <c r="M19" s="91"/>
    </row>
    <row r="20" spans="1:13">
      <c r="A20" s="124"/>
      <c r="B20" s="99" t="s">
        <v>1851</v>
      </c>
      <c r="C20" s="99"/>
      <c r="D20" s="125"/>
      <c r="E20" s="126">
        <f>IF(J4="",SUMIFS(tbl_proj_bud[Cumul Amount],tbl_proj_bud[Formatted Project],'Project Summary'!H4,tbl_proj_bud[Budget Category],"Participant Support"),SUMIFS(tbl_proj_bud[Cumul Amount],tbl_proj_bud[Formatted Project],'Project Summary'!H4,tbl_proj_bud[Budget Category],"Participant Support",tbl_proj_bud[Fund],J4))</f>
        <v>0</v>
      </c>
      <c r="F20" s="127">
        <f>IF($J$4="",(SUMIFS(tbl_ProjEncumbrances[Total Remaining],tbl_ProjEncumbrances[Budgetary Account],RIGHT(B20,LEN(B20)-3),tbl_ProjEncumbrances[Combo],$H$4)),(SUMIFS(tbl_ProjEncumbrances[Total Remaining],tbl_ProjEncumbrances[Budgetary Account],RIGHT(B20,LEN(B20)-3),tbl_ProjEncumbrances[Combo],$H$4,tbl_ProjEncumbrances[[ Fund]],$J$4)))</f>
        <v>0</v>
      </c>
      <c r="G20" s="127">
        <f>IF(J4="",SUMIFS(tbl_TransDet_Enc[Amount],tbl_TransDet_Enc[SR Type],"Participant Support",tbl_TransDet_Enc[Project Id],RIGHT($H$4,6)),SUMIFS(tbl_TransDet_Enc[Amount],tbl_TransDet_Enc[SR Type],"Participant Support",tbl_TransDet_Enc[Project Id],RIGHT($H$4,6),tbl_TransDet_Enc[Fund Code],J4))</f>
        <v>0</v>
      </c>
      <c r="H20" s="127">
        <f>IF(J4="",SUMIFS(tbl_TransDet_Exp[Amount],tbl_TransDet_Exp[SR Type],"Participant Support",tbl_TransDet_Exp[Project Id],RIGHT($H$4,6)),SUMIFS(tbl_TransDet_Exp[Amount],tbl_TransDet_Exp[SR Type],"Participant Support",tbl_TransDet_Exp[Project Id],RIGHT($H$4,6),tbl_TransDet_Exp[Fund Id],J4))</f>
        <v>0</v>
      </c>
      <c r="I20" s="128">
        <f t="shared" si="0"/>
        <v>0</v>
      </c>
      <c r="J20" s="129">
        <f>IF(J4="",SUMIFS(tbl_TransDet_Exp[Amount],tbl_TransDet_Exp[SR Type],"Participant Support",tbl_TransDet_Exp[Project Id],RIGHT($H$4,6),tbl_TransDet_Exp[FY_pd Combo],MAX(tbl_TransDet_Exp[FY_pd Combo])),SUMIFS(tbl_TransDet_Exp[Amount],tbl_TransDet_Exp[SR Type],"Participant Support",tbl_TransDet_Exp[Project Id],RIGHT($H$4,6),tbl_TransDet_Exp[Fund Id],J4,tbl_TransDet_Exp[FY_pd Combo],MAX(tbl_TransDet_Exp[FY_pd Combo])))</f>
        <v>0</v>
      </c>
      <c r="K20" s="91"/>
      <c r="L20" s="91"/>
      <c r="M20" s="91"/>
    </row>
    <row r="21" spans="1:13">
      <c r="A21" s="124"/>
      <c r="B21" s="99" t="s">
        <v>1708</v>
      </c>
      <c r="C21" s="99"/>
      <c r="D21" s="125"/>
      <c r="E21" s="126">
        <f>IF(J4="",SUMIFS(tbl_proj_bud[Cumul Amount],tbl_proj_bud[Formatted Project],'Project Summary'!H4,tbl_proj_bud[Budget Category],"Professional Services"),SUMIFS(tbl_proj_bud[Cumul Amount],tbl_proj_bud[Formatted Project],'Project Summary'!H4,tbl_proj_bud[Budget Category],"Professional Services",tbl_proj_bud[Fund],J4))</f>
        <v>0</v>
      </c>
      <c r="F21" s="127">
        <f>IF($J$4="",(SUMIFS(tbl_ProjEncumbrances[Total Remaining],tbl_ProjEncumbrances[Budgetary Account],RIGHT(B21,LEN(B21)-3),tbl_ProjEncumbrances[Combo],$H$4)),(SUMIFS(tbl_ProjEncumbrances[Total Remaining],tbl_ProjEncumbrances[Budgetary Account],RIGHT(B21,LEN(B21)-3),tbl_ProjEncumbrances[Combo],$H$4,tbl_ProjEncumbrances[[ Fund]],$J$4)))</f>
        <v>0</v>
      </c>
      <c r="G21" s="127">
        <f>IF(J4="",SUMIFS(tbl_TransDet_Enc[Amount],tbl_TransDet_Enc[SR Type],"Professional Services",tbl_TransDet_Enc[Project Id],RIGHT($H$4,6)),SUMIFS(tbl_TransDet_Enc[Amount],tbl_TransDet_Enc[SR Type],"Professional Services",tbl_TransDet_Enc[Project Id],RIGHT($H$4,6),tbl_TransDet_Enc[Fund Code],J4))</f>
        <v>0</v>
      </c>
      <c r="H21" s="127">
        <f>IF(J4="",SUMIFS(tbl_TransDet_Exp[Amount],tbl_TransDet_Exp[SR Type],"Professional Services",tbl_TransDet_Exp[Project Id],RIGHT($H$4,6)),SUMIFS(tbl_TransDet_Exp[Amount],tbl_TransDet_Exp[SR Type],"Professional Services",tbl_TransDet_Exp[Project Id],RIGHT($H$4,6),tbl_TransDet_Exp[Fund Id],J4))</f>
        <v>0</v>
      </c>
      <c r="I21" s="128">
        <f t="shared" si="0"/>
        <v>0</v>
      </c>
      <c r="J21" s="129">
        <f>IF(J4="",SUMIFS(tbl_TransDet_Exp[Amount],tbl_TransDet_Exp[SR Type],"Professional Services",tbl_TransDet_Exp[Project Id],RIGHT($H$4,6),tbl_TransDet_Exp[FY_pd Combo],MAX(tbl_TransDet_Exp[FY_pd Combo])),SUMIFS(tbl_TransDet_Exp[Amount],tbl_TransDet_Exp[SR Type],"Professional Services",tbl_TransDet_Exp[Project Id],RIGHT($H$4,6),tbl_TransDet_Exp[Fund Id],J4,tbl_TransDet_Exp[FY_pd Combo],MAX(tbl_TransDet_Exp[FY_pd Combo])))</f>
        <v>0</v>
      </c>
      <c r="K21" s="91"/>
      <c r="L21" s="91"/>
      <c r="M21" s="91"/>
    </row>
    <row r="22" spans="1:13">
      <c r="A22" s="124"/>
      <c r="B22" s="99" t="s">
        <v>1466</v>
      </c>
      <c r="C22" s="99"/>
      <c r="D22" s="125"/>
      <c r="E22" s="126">
        <f>IF(J4="",SUMIFS(tbl_proj_bud[Cumul Amount],tbl_proj_bud[Formatted Project],'Project Summary'!H4,tbl_proj_bud[Budget Category],"Rent"),SUMIFS(tbl_proj_bud[Cumul Amount],tbl_proj_bud[Formatted Project],'Project Summary'!H4,tbl_proj_bud[Budget Category],"Rent",tbl_proj_bud[Fund],J4))</f>
        <v>0</v>
      </c>
      <c r="F22" s="127">
        <f>IF($J$4="",(SUMIFS(tbl_ProjEncumbrances[Total Remaining],tbl_ProjEncumbrances[Budgetary Account],RIGHT(B22,LEN(B22)-3),tbl_ProjEncumbrances[Combo],$H$4)),(SUMIFS(tbl_ProjEncumbrances[Total Remaining],tbl_ProjEncumbrances[Budgetary Account],RIGHT(B22,LEN(B22)-3),tbl_ProjEncumbrances[Combo],$H$4,tbl_ProjEncumbrances[[ Fund]],$J$4)))</f>
        <v>0</v>
      </c>
      <c r="G22" s="127">
        <f>IF(J4="",SUMIFS(tbl_TransDet_Enc[Amount],tbl_TransDet_Enc[SR Type],"Rent",tbl_TransDet_Enc[Project Id],RIGHT($H$4,6)),SUMIFS(tbl_TransDet_Enc[Amount],tbl_TransDet_Enc[SR Type],"Rent",tbl_TransDet_Enc[Project Id],RIGHT($H$4,6),tbl_TransDet_Enc[Fund Code],J4))</f>
        <v>0</v>
      </c>
      <c r="H22" s="127">
        <f>IF(J4="",SUMIFS(tbl_TransDet_Exp[Amount],tbl_TransDet_Exp[SR Type],"Rent",tbl_TransDet_Exp[Project Id],RIGHT($H$4,6)),SUMIFS(tbl_TransDet_Exp[Amount],tbl_TransDet_Exp[SR Type],"Rent",tbl_TransDet_Exp[Project Id],RIGHT($H$4,6),tbl_TransDet_Exp[Fund Id],J4))</f>
        <v>0</v>
      </c>
      <c r="I22" s="128">
        <f t="shared" ref="I22" si="1">E22-F22-G22-H22</f>
        <v>0</v>
      </c>
      <c r="J22" s="129">
        <f>IF(J4="",SUMIFS(tbl_TransDet_Exp[Amount],tbl_TransDet_Exp[SR Type],"Rent",tbl_TransDet_Exp[Project Id],RIGHT($H$4,6),tbl_TransDet_Exp[FY_pd Combo],MAX(tbl_TransDet_Exp[FY_pd Combo])),SUMIFS(tbl_TransDet_Exp[Amount],tbl_TransDet_Exp[SR Type],"Rent",tbl_TransDet_Exp[Project Id],RIGHT($H$4,6),tbl_TransDet_Exp[Fund Id],J4,tbl_TransDet_Exp[FY_pd Combo],MAX(tbl_TransDet_Exp[FY_pd Combo])))</f>
        <v>0</v>
      </c>
      <c r="K22" s="91"/>
      <c r="L22" s="91"/>
      <c r="M22" s="91"/>
    </row>
    <row r="23" spans="1:13">
      <c r="A23" s="124"/>
      <c r="B23" s="99" t="s">
        <v>1852</v>
      </c>
      <c r="C23" s="99"/>
      <c r="D23" s="125"/>
      <c r="E23" s="126">
        <f>IF(J4="",SUMIFS(tbl_proj_bud[Cumul Amount],tbl_proj_bud[Formatted Project],'Project Summary'!H4,tbl_proj_bud[Budget Category],"Participant Support"),SUMIFS(tbl_proj_bud[Cumul Amount],tbl_proj_bud[Formatted Project],'Project Summary'!H4,tbl_proj_bud[Budget Category],"Participant Support",tbl_proj_bud[Fund],J4))</f>
        <v>0</v>
      </c>
      <c r="F23" s="127">
        <f>IF($J$4="",(SUMIFS(tbl_ProjEncumbrances[Total Remaining],tbl_ProjEncumbrances[Budgetary Account],RIGHT(B23,LEN(B23)-3),tbl_ProjEncumbrances[Combo],$H$4)),(SUMIFS(tbl_ProjEncumbrances[Total Remaining],tbl_ProjEncumbrances[Budgetary Account],RIGHT(B23,LEN(B23)-3),tbl_ProjEncumbrances[Combo],$H$4,tbl_ProjEncumbrances[[ Fund]],$J$4)))</f>
        <v>0</v>
      </c>
      <c r="G23" s="127">
        <f>IF(J4="",SUMIFS(tbl_TransDet_Enc[Amount],tbl_TransDet_Enc[SR Type],"ADP/Computer Svcs",tbl_TransDet_Enc[Project Id],RIGHT($H$4,6)),SUMIFS(tbl_TransDet_Enc[Amount],tbl_TransDet_Enc[SR Type],"ADP/Computer Svcs",tbl_TransDet_Enc[Project Id],RIGHT($H$4,6),tbl_TransDet_Enc[Fund Code],J4))</f>
        <v>0</v>
      </c>
      <c r="H23" s="127">
        <f>IF(J4="",SUMIFS(tbl_TransDet_Exp[Amount],tbl_TransDet_Exp[SR Type],"ADP/Computer Svcs",tbl_TransDet_Exp[Project Id],RIGHT($H$4,6)),SUMIFS(tbl_TransDet_Exp[Amount],tbl_TransDet_Exp[SR Type],"ADP/Computer Svcs",tbl_TransDet_Exp[Project Id],RIGHT($H$4,6),tbl_TransDet_Exp[Fund Id],J4))</f>
        <v>0</v>
      </c>
      <c r="I23" s="128">
        <f t="shared" ref="I23" si="2">E23-F23-G23-H23</f>
        <v>0</v>
      </c>
      <c r="J23" s="129">
        <f>IF(J4="",SUMIFS(tbl_TransDet_Exp[Amount],tbl_TransDet_Exp[SR Type],"ADP/Computer Svcs",tbl_TransDet_Exp[Project Id],RIGHT($H$4,6),tbl_TransDet_Exp[FY_pd Combo],MAX(tbl_TransDet_Exp[FY_pd Combo])),SUMIFS(tbl_TransDet_Exp[Amount],tbl_TransDet_Exp[SR Type],"ADP/Computer Svcs",tbl_TransDet_Exp[Project Id],RIGHT($H$4,6),tbl_TransDet_Exp[Fund Id],J4,tbl_TransDet_Exp[FY_pd Combo],MAX(tbl_TransDet_Exp[FY_pd Combo])))</f>
        <v>0</v>
      </c>
      <c r="K23" s="91"/>
      <c r="L23" s="91"/>
      <c r="M23" s="91"/>
    </row>
    <row r="24" spans="1:13">
      <c r="A24" s="124"/>
      <c r="B24" s="99" t="s">
        <v>1468</v>
      </c>
      <c r="C24" s="99"/>
      <c r="D24" s="125"/>
      <c r="E24" s="126">
        <f>IF(J4="",SUMIFS(tbl_proj_bud[Cumul Amount],tbl_proj_bud[Formatted Project],'Project Summary'!H4,tbl_proj_bud[Budget Category],"Other Direct Cost"),SUMIFS(tbl_proj_bud[Cumul Amount],tbl_proj_bud[Formatted Project],'Project Summary'!H4,tbl_proj_bud[Budget Category],"Other Direct Cost",tbl_proj_bud[Fund],J4))</f>
        <v>0</v>
      </c>
      <c r="F24" s="127">
        <f>IF($J$4="",(SUMIFS(tbl_ProjEncumbrances[Total Remaining],tbl_ProjEncumbrances[Budgetary Account],RIGHT(B24,LEN(B24)-4),tbl_ProjEncumbrances[Combo],$H$4)),(SUMIFS(tbl_ProjEncumbrances[Total Remaining],tbl_ProjEncumbrances[Budgetary Account],RIGHT(B24,LEN(B24)-4),tbl_ProjEncumbrances[Combo],$H$4,tbl_ProjEncumbrances[[ Fund]],$J$4)))</f>
        <v>0</v>
      </c>
      <c r="G24" s="127">
        <f>IF(J4="",(SUMIFS(tbl_TransDet_Enc[Amount],tbl_TransDet_Enc[SR Type],"0",tbl_TransDet_Enc[Project Id],RIGHT($H$4,6))+SUMIFS(tbl_TransDet_Enc[Amount],tbl_TransDet_Enc[SR Type],"Other Direct Cost",tbl_TransDet_Enc[Project Id],RIGHT($H$4,6))),(SUMIFS(tbl_TransDet_Enc[Amount],tbl_TransDet_Enc[SR Type],"0",tbl_TransDet_Enc[Project Id],RIGHT($H$4,6),tbl_TransDet_Enc[Fund Code],J4)+SUMIFS(tbl_TransDet_Enc[Amount],tbl_TransDet_Enc[SR Type],"Other Direct Cost",tbl_TransDet_Enc[Project Id],RIGHT($H$4,6),tbl_TransDet_Enc[Fund Code],J4)))</f>
        <v>0</v>
      </c>
      <c r="H24" s="127">
        <f>IF(J4="",(SUMIFS(tbl_TransDet_Exp[Amount],tbl_TransDet_Exp[SR Type],"0",tbl_TransDet_Exp[Project Id],RIGHT($H$4,6))+SUMIFS(tbl_TransDet_Exp[Amount],tbl_TransDet_Exp[SR Type],"Other Direct Cost",tbl_TransDet_Exp[Project Id],RIGHT($H$4,6))),(SUMIFS(tbl_TransDet_Exp[Amount],tbl_TransDet_Exp[SR Type],"0",tbl_TransDet_Exp[Project Id],RIGHT($H$4,6),tbl_TransDet_Exp[Fund Id],J4)+SUMIFS(tbl_TransDet_Exp[Amount],tbl_TransDet_Exp[SR Type],"Other Direct Cost",tbl_TransDet_Exp[Project Id],RIGHT($H$4,6),tbl_TransDet_Exp[Fund Id],J4)))</f>
        <v>0</v>
      </c>
      <c r="I24" s="128">
        <f t="shared" si="0"/>
        <v>0</v>
      </c>
      <c r="J24" s="129">
        <f>IF(J4="",(SUMIFS(tbl_TransDet_Exp[Amount],tbl_TransDet_Exp[SR Type],"0",tbl_TransDet_Exp[Project Id],RIGHT($H$4,6),tbl_TransDet_Exp[FY_pd Combo],MAX(tbl_TransDet_Exp[FY_pd Combo]))+SUMIFS(tbl_TransDet_Exp[Amount],tbl_TransDet_Exp[SR Type],"Other Direct Cost",tbl_TransDet_Exp[Project Id],RIGHT($H$4,6),tbl_TransDet_Exp[FY_pd Combo],MAX(tbl_TransDet_Exp[FY_pd Combo]))),(SUMIFS(tbl_TransDet_Exp[Amount],tbl_TransDet_Exp[SR Type],"0",tbl_TransDet_Exp[Project Id],RIGHT($H$4,6),tbl_TransDet_Exp[Fund Id],J4,tbl_TransDet_Exp[FY_pd Combo],MAX(tbl_TransDet_Exp[FY_pd Combo]))+SUMIFS(tbl_TransDet_Exp[Amount],tbl_TransDet_Exp[SR Type],"Other Direct Cost",tbl_TransDet_Exp[Project Id],RIGHT($H$4,6),tbl_TransDet_Exp[Fund Id],J4,tbl_TransDet_Exp[FY_pd Combo],MAX(tbl_TransDet_Exp[FY_pd Combo]))))</f>
        <v>0</v>
      </c>
      <c r="K24" s="91"/>
      <c r="L24" s="91"/>
      <c r="M24" s="91"/>
    </row>
    <row r="25" spans="1:13">
      <c r="A25" s="132" t="s">
        <v>1357</v>
      </c>
      <c r="B25" s="133"/>
      <c r="C25" s="133"/>
      <c r="D25" s="134"/>
      <c r="E25" s="120">
        <f>E9+E12+E13+E14</f>
        <v>0</v>
      </c>
      <c r="F25" s="121">
        <f>F9+F12+F13+F14</f>
        <v>0</v>
      </c>
      <c r="G25" s="121">
        <f>G9+G12+G13+G14</f>
        <v>0</v>
      </c>
      <c r="H25" s="121">
        <f>H9+H12+H13+H14</f>
        <v>0</v>
      </c>
      <c r="I25" s="122">
        <f>E25-F25-G25-H25</f>
        <v>0</v>
      </c>
      <c r="J25" s="123">
        <f>J9+J12+J13+J14</f>
        <v>0</v>
      </c>
      <c r="K25" s="91"/>
      <c r="L25" s="91"/>
      <c r="M25" s="91"/>
    </row>
    <row r="26" spans="1:13">
      <c r="A26" s="132" t="s">
        <v>1312</v>
      </c>
      <c r="B26" s="133"/>
      <c r="C26" s="138">
        <v>0</v>
      </c>
      <c r="D26" s="134" t="e">
        <f>CONCATENATE("Base: ",INDEX(tbl_projects[Base2],MATCH(H4,tbl_projects[Concat],0)))</f>
        <v>#N/A</v>
      </c>
      <c r="E26" s="120">
        <f>IF(J4="",SUMIFS(tbl_proj_bud[Cumul Amount],tbl_proj_bud[Formatted Project],'Project Summary'!H4,tbl_proj_bud[Budget Category],"Indirect Cost"),SUMIFS(tbl_proj_bud[Cumul Amount],tbl_proj_bud[Formatted Project],'Project Summary'!H4,tbl_proj_bud[Budget Category],"Indirect Cost",tbl_proj_bud[Fund],J4))</f>
        <v>0</v>
      </c>
      <c r="F26" s="121">
        <f>(SUM(F9,F13,F16,F17,F18,F24)+IF(F19&gt;25000,25000,F19))*C26</f>
        <v>0</v>
      </c>
      <c r="G26" s="121">
        <f>(SUM(G9,G13,G16,G17,G18,G24)+SUMIFS(tbl_TransDet_Enc[Amount],tbl_TransDet_Enc[Account],740451,tbl_TransDet_Enc[Project Id],H4,tbl_TransDet_Enc[Fund Code],J4))*C26</f>
        <v>0</v>
      </c>
      <c r="H26" s="121">
        <f>IF(J4="",SUMIFS(tbl_TransDet_Exp[Amount],tbl_TransDet_Exp[SR Type],"Indirect Cost",tbl_TransDet_Exp[Project Id],RIGHT($H$4,6)),SUMIFS(tbl_TransDet_Exp[Amount],tbl_TransDet_Exp[SR Type],"Indirect Cost",tbl_TransDet_Exp[Project Id],RIGHT($H$4,6),tbl_TransDet_Exp[Fund Id],J4))</f>
        <v>0</v>
      </c>
      <c r="I26" s="122">
        <f>E26-F26-G26-H26</f>
        <v>0</v>
      </c>
      <c r="J26" s="123">
        <f>IF(J4="",SUMIFS(tbl_TransDet_Exp[Amount],tbl_TransDet_Exp[SR Type],"F&amp;A Costs",tbl_TransDet_Exp[Project Id],RIGHT($H$4,6),tbl_TransDet_Exp[FY_pd Combo],MAX(tbl_TransDet_Exp[FY_pd Combo])),SUMIFS(tbl_TransDet_Exp[Amount],tbl_TransDet_Exp[SR Type],"F&amp;A Costs",tbl_TransDet_Exp[Project Id],RIGHT($H$4,6),tbl_TransDet_Exp[Fund Id],J4,tbl_TransDet_Exp[FY_pd Combo],MAX(tbl_TransDet_Exp[FY_pd Combo])))</f>
        <v>0</v>
      </c>
      <c r="K26" s="91"/>
      <c r="L26" s="91"/>
      <c r="M26" s="91"/>
    </row>
    <row r="27" spans="1:13">
      <c r="A27" s="139" t="s">
        <v>1397</v>
      </c>
      <c r="B27" s="140"/>
      <c r="C27" s="140"/>
      <c r="D27" s="141"/>
      <c r="E27" s="142">
        <f>E25+E26</f>
        <v>0</v>
      </c>
      <c r="F27" s="143">
        <f>SUM(F25:F26)</f>
        <v>0</v>
      </c>
      <c r="G27" s="143">
        <f>SUM(G25:G26)</f>
        <v>0</v>
      </c>
      <c r="H27" s="143">
        <f>SUM(H25:H26)</f>
        <v>0</v>
      </c>
      <c r="I27" s="144">
        <f>E27-F27-G27-H27</f>
        <v>0</v>
      </c>
      <c r="J27" s="145">
        <f>SUM(J25:J26)</f>
        <v>0</v>
      </c>
      <c r="K27" s="91"/>
      <c r="L27" s="91"/>
      <c r="M27" s="91"/>
    </row>
    <row r="28" spans="1:13">
      <c r="A28" s="146" t="s">
        <v>1313</v>
      </c>
      <c r="B28" s="146"/>
      <c r="C28" s="146"/>
      <c r="D28" s="146"/>
      <c r="E28" s="100"/>
      <c r="F28" s="100"/>
      <c r="G28" s="100"/>
      <c r="H28" s="100"/>
      <c r="I28" s="100"/>
      <c r="J28" s="100"/>
      <c r="K28" s="91"/>
      <c r="L28" s="91"/>
      <c r="M28" s="291" t="s">
        <v>1400</v>
      </c>
    </row>
    <row r="29" spans="1:13" ht="13.5" thickBot="1">
      <c r="A29" s="146"/>
      <c r="B29" s="146"/>
      <c r="C29" s="146"/>
      <c r="D29" s="146"/>
      <c r="E29" s="100"/>
      <c r="F29" s="100"/>
      <c r="G29" s="100"/>
      <c r="H29" s="100"/>
      <c r="I29" s="100"/>
      <c r="J29" s="100"/>
      <c r="K29" s="91"/>
      <c r="L29" s="91"/>
      <c r="M29" s="291"/>
    </row>
    <row r="30" spans="1:13" ht="15.75" customHeight="1">
      <c r="A30" s="99"/>
      <c r="B30" s="279" t="s">
        <v>1314</v>
      </c>
      <c r="C30" s="280"/>
      <c r="D30" s="281"/>
      <c r="E30" s="147"/>
      <c r="F30" s="273" t="s">
        <v>1321</v>
      </c>
      <c r="G30" s="274"/>
      <c r="H30" s="275"/>
      <c r="I30" s="147"/>
      <c r="J30" s="148"/>
      <c r="K30" s="91"/>
      <c r="L30" s="149"/>
      <c r="M30" s="292"/>
    </row>
    <row r="31" spans="1:13" s="30" customFormat="1" ht="14.5" customHeight="1">
      <c r="A31" s="135"/>
      <c r="B31" s="150" t="s">
        <v>1315</v>
      </c>
      <c r="C31" s="151"/>
      <c r="D31" s="12">
        <v>151499</v>
      </c>
      <c r="E31" s="135"/>
      <c r="F31" s="152" t="s">
        <v>1315</v>
      </c>
      <c r="G31" s="153"/>
      <c r="H31" s="246">
        <v>75751</v>
      </c>
      <c r="I31" s="154"/>
      <c r="J31" s="154"/>
      <c r="K31" s="155"/>
      <c r="L31" s="91" t="s">
        <v>1401</v>
      </c>
      <c r="M31" s="156">
        <f>IF(J4="",SUMIFS(tbl_proj_bud[Cumul Amount],tbl_proj_bud[Formatted Project],'Project Summary'!H4)-E27+0.00001,SUMIFS(tbl_proj_bud[Cumul Amount],tbl_proj_bud[Formatted Project],'Project Summary'!H4,tbl_proj_bud[Fund],'Project Summary'!J4)-E27+0.00001)</f>
        <v>1.0000000000000001E-5</v>
      </c>
    </row>
    <row r="32" spans="1:13" s="30" customFormat="1">
      <c r="A32" s="135"/>
      <c r="B32" s="150" t="s">
        <v>1316</v>
      </c>
      <c r="C32" s="151"/>
      <c r="D32" s="12">
        <v>98010.02</v>
      </c>
      <c r="E32" s="135"/>
      <c r="F32" s="152" t="s">
        <v>1316</v>
      </c>
      <c r="G32" s="153"/>
      <c r="H32" s="246">
        <v>49005.19</v>
      </c>
      <c r="I32" s="154"/>
      <c r="J32" s="154"/>
      <c r="K32" s="155"/>
      <c r="L32" s="91" t="s">
        <v>1300</v>
      </c>
      <c r="M32" s="156">
        <f>IF(J4="",SUMIFS(tbl_ProjEncumbrances[Total Remaining],tbl_ProjEncumbrances[[ Project]],RIGHT('Project Summary'!H4,6))-F25+0.00001,SUMIFS(tbl_ProjEncumbrances[Total Remaining],tbl_ProjEncumbrances[[ Project]],RIGHT('Project Summary'!H4,6),tbl_ProjEncumbrances[[ Fund]],'Project Summary'!J4)-F25+0.00001)</f>
        <v>1.0000000000000001E-5</v>
      </c>
    </row>
    <row r="33" spans="1:13" s="30" customFormat="1">
      <c r="A33" s="135"/>
      <c r="B33" s="150" t="s">
        <v>1317</v>
      </c>
      <c r="C33" s="151"/>
      <c r="D33" s="12">
        <v>17797.43</v>
      </c>
      <c r="E33" s="135"/>
      <c r="F33" s="152" t="s">
        <v>1318</v>
      </c>
      <c r="G33" s="153"/>
      <c r="H33" s="247">
        <v>26745.81</v>
      </c>
      <c r="I33" s="154"/>
      <c r="J33" s="154"/>
      <c r="K33" s="155"/>
      <c r="L33" s="91" t="s">
        <v>1402</v>
      </c>
      <c r="M33" s="156">
        <f>IF(J4="",SUMIFS(tbl_TransDet_Enc[Amount],tbl_TransDet_Enc[Project2],RIGHT('Project Summary'!H4,6))-G25+0.00001,SUMIFS(tbl_TransDet_Enc[Amount],tbl_TransDet_Enc[Project2],RIGHT('Project Summary'!H4,6),tbl_TransDet_Enc[Fund Code],'Project Summary'!J4)-G25+0.00001)</f>
        <v>1.0000000000000001E-5</v>
      </c>
    </row>
    <row r="34" spans="1:13" s="30" customFormat="1">
      <c r="A34" s="135"/>
      <c r="B34" s="150" t="s">
        <v>1318</v>
      </c>
      <c r="C34" s="151"/>
      <c r="D34" s="29">
        <v>35691.550000000003</v>
      </c>
      <c r="E34" s="135"/>
      <c r="F34" s="157"/>
      <c r="G34" s="158"/>
      <c r="H34" s="159"/>
      <c r="I34" s="154"/>
      <c r="J34" s="154"/>
      <c r="K34" s="155"/>
      <c r="L34" s="91" t="s">
        <v>1403</v>
      </c>
      <c r="M34" s="156">
        <f>IF(J4="",SUMIFS(tbl_TransDet_Exp[Amount],tbl_TransDet_Exp[Combo],'Project Summary'!H4)-H27,SUMIFS(tbl_TransDet_Exp[Amount],tbl_TransDet_Exp[Combo],'Project Summary'!H4,tbl_TransDet_Exp[Fund Id],'Project Summary'!J4)-H27)</f>
        <v>0</v>
      </c>
    </row>
    <row r="35" spans="1:13" s="30" customFormat="1">
      <c r="A35" s="135"/>
      <c r="B35" s="160"/>
      <c r="C35" s="161"/>
      <c r="D35" s="162"/>
      <c r="E35" s="135"/>
      <c r="F35" s="152" t="s">
        <v>1709</v>
      </c>
      <c r="G35" s="153"/>
      <c r="H35" s="163">
        <f>$G$26</f>
        <v>0</v>
      </c>
      <c r="I35" s="154"/>
      <c r="J35" s="154"/>
      <c r="K35" s="155"/>
      <c r="L35" s="155"/>
      <c r="M35" s="155"/>
    </row>
    <row r="36" spans="1:13" s="30" customFormat="1">
      <c r="A36" s="135"/>
      <c r="B36" s="164" t="s">
        <v>1687</v>
      </c>
      <c r="C36" s="165"/>
      <c r="D36" s="166">
        <f>$F$25</f>
        <v>0</v>
      </c>
      <c r="E36" s="135"/>
      <c r="F36" s="152" t="s">
        <v>1687</v>
      </c>
      <c r="G36" s="153"/>
      <c r="H36" s="163">
        <f>$F$26</f>
        <v>0</v>
      </c>
      <c r="I36" s="154"/>
      <c r="J36" s="154"/>
      <c r="K36" s="155"/>
      <c r="L36" s="155"/>
      <c r="M36" s="155"/>
    </row>
    <row r="37" spans="1:13" s="30" customFormat="1" ht="13.5" thickBot="1">
      <c r="A37" s="135"/>
      <c r="B37" s="167" t="s">
        <v>1319</v>
      </c>
      <c r="C37" s="168"/>
      <c r="D37" s="169">
        <f>D34-D36</f>
        <v>35691.550000000003</v>
      </c>
      <c r="E37" s="135"/>
      <c r="F37" s="170" t="s">
        <v>1319</v>
      </c>
      <c r="G37" s="171"/>
      <c r="H37" s="169">
        <f>H33-H35-H36</f>
        <v>26745.81</v>
      </c>
      <c r="I37" s="154"/>
      <c r="J37" s="154"/>
      <c r="K37" s="155"/>
      <c r="L37" s="155"/>
      <c r="M37" s="155"/>
    </row>
    <row r="38" spans="1:13">
      <c r="A38" s="99"/>
      <c r="B38" s="99"/>
      <c r="C38" s="100"/>
      <c r="D38" s="172"/>
      <c r="E38" s="99"/>
      <c r="F38" s="99"/>
      <c r="G38" s="100"/>
      <c r="H38" s="172"/>
      <c r="I38" s="100"/>
      <c r="J38" s="100"/>
      <c r="K38" s="91"/>
      <c r="L38" s="91"/>
      <c r="M38" s="91"/>
    </row>
    <row r="39" spans="1:13">
      <c r="A39" s="99"/>
      <c r="B39" s="173">
        <f>D37-I25</f>
        <v>35691.550000000003</v>
      </c>
      <c r="C39" s="100" t="s">
        <v>1320</v>
      </c>
      <c r="D39" s="99"/>
      <c r="E39" s="99"/>
      <c r="F39" s="173">
        <f>H37-I26</f>
        <v>26745.81</v>
      </c>
      <c r="G39" s="100" t="s">
        <v>1320</v>
      </c>
      <c r="H39" s="99"/>
      <c r="I39" s="100"/>
      <c r="J39" s="100"/>
      <c r="K39" s="91"/>
      <c r="L39" s="91"/>
      <c r="M39" s="91"/>
    </row>
    <row r="40" spans="1:13">
      <c r="A40" s="99"/>
      <c r="B40" s="99"/>
      <c r="C40" s="99"/>
      <c r="D40" s="99"/>
      <c r="E40" s="100"/>
      <c r="F40" s="99"/>
      <c r="G40" s="100"/>
      <c r="H40" s="100"/>
      <c r="I40" s="100"/>
      <c r="J40" s="100"/>
      <c r="K40" s="91"/>
      <c r="L40" s="91"/>
      <c r="M40" s="91"/>
    </row>
    <row r="41" spans="1:13">
      <c r="A41" s="174"/>
      <c r="B41" s="174"/>
      <c r="C41" s="175"/>
      <c r="D41" s="174"/>
      <c r="E41" s="176"/>
      <c r="F41" s="177"/>
      <c r="G41" s="177"/>
      <c r="H41" s="177"/>
      <c r="I41" s="177"/>
      <c r="J41" s="177"/>
      <c r="K41" s="91"/>
      <c r="L41" s="91"/>
      <c r="M41" s="91"/>
    </row>
    <row r="42" spans="1:13">
      <c r="A42" s="174"/>
      <c r="B42" s="174"/>
      <c r="C42" s="175"/>
      <c r="D42" s="174"/>
      <c r="E42" s="176"/>
      <c r="F42" s="177"/>
      <c r="G42" s="177"/>
      <c r="H42" s="177"/>
      <c r="I42" s="177"/>
      <c r="J42" s="177"/>
      <c r="K42" s="91"/>
      <c r="L42" s="91"/>
      <c r="M42" s="91"/>
    </row>
    <row r="43" spans="1:13">
      <c r="A43" s="174"/>
      <c r="B43" s="178"/>
      <c r="C43" s="178"/>
      <c r="D43" s="178"/>
      <c r="E43" s="174"/>
      <c r="F43" s="177"/>
      <c r="G43" s="178"/>
      <c r="H43" s="179"/>
      <c r="I43" s="179"/>
      <c r="J43" s="177"/>
      <c r="K43" s="91"/>
      <c r="L43" s="91"/>
      <c r="M43" s="91"/>
    </row>
    <row r="44" spans="1:13">
      <c r="A44" s="174"/>
      <c r="B44" s="175" t="s">
        <v>1695</v>
      </c>
      <c r="C44" s="174"/>
      <c r="D44" s="174"/>
      <c r="E44" s="174"/>
      <c r="F44" s="174"/>
      <c r="G44" s="175" t="s">
        <v>1469</v>
      </c>
      <c r="H44" s="177"/>
      <c r="I44" s="177"/>
      <c r="J44" s="177"/>
      <c r="K44" s="91"/>
      <c r="L44" s="91"/>
      <c r="M44" s="91"/>
    </row>
    <row r="45" spans="1:13">
      <c r="A45" s="174"/>
      <c r="B45" s="174"/>
      <c r="C45" s="174"/>
      <c r="D45" s="174"/>
      <c r="E45" s="176"/>
      <c r="F45" s="176"/>
      <c r="G45" s="177"/>
      <c r="H45" s="177"/>
      <c r="I45" s="177"/>
      <c r="J45" s="177"/>
      <c r="K45" s="91"/>
      <c r="L45" s="91"/>
      <c r="M45" s="91"/>
    </row>
    <row r="46" spans="1:13">
      <c r="A46" s="174"/>
      <c r="B46" s="174"/>
      <c r="C46" s="174"/>
      <c r="D46" s="174"/>
      <c r="E46" s="177"/>
      <c r="F46" s="177"/>
      <c r="G46" s="177"/>
      <c r="H46" s="177"/>
      <c r="I46" s="177"/>
      <c r="J46" s="177"/>
      <c r="K46" s="91"/>
      <c r="L46" s="91"/>
      <c r="M46" s="91"/>
    </row>
    <row r="47" spans="1:13">
      <c r="A47" s="174"/>
      <c r="B47" s="174"/>
      <c r="C47" s="174"/>
      <c r="D47" s="174"/>
      <c r="E47" s="177"/>
      <c r="F47" s="177"/>
      <c r="G47" s="177"/>
      <c r="H47" s="177"/>
      <c r="I47" s="177"/>
      <c r="J47" s="177"/>
      <c r="K47" s="91"/>
      <c r="L47" s="91"/>
      <c r="M47" s="91"/>
    </row>
    <row r="48" spans="1:13" ht="14.5">
      <c r="A48" s="174"/>
      <c r="B48" s="175"/>
      <c r="C48" s="174"/>
      <c r="D48" s="174"/>
      <c r="E48" s="177"/>
      <c r="F48" s="177"/>
      <c r="G48" s="180"/>
      <c r="H48" s="181"/>
      <c r="I48" s="180" t="str">
        <f ca="1">CONCATENATE("Completed ",TEXT(O1, "MM/DD/YYYY"))</f>
        <v>Completed 08/27/2024</v>
      </c>
      <c r="J48" s="177"/>
      <c r="K48" s="91"/>
      <c r="L48" s="91"/>
      <c r="M48" s="91"/>
    </row>
    <row r="49" spans="1:13" ht="14.5">
      <c r="A49" s="174"/>
      <c r="B49" s="175"/>
      <c r="C49" s="174"/>
      <c r="D49" s="174"/>
      <c r="E49" s="177"/>
      <c r="F49" s="181"/>
      <c r="G49" s="181"/>
      <c r="H49" s="181"/>
      <c r="I49" s="177"/>
      <c r="J49" s="177"/>
      <c r="K49" s="91"/>
      <c r="L49" s="91"/>
      <c r="M49" s="91"/>
    </row>
    <row r="50" spans="1:13" ht="15.75" customHeight="1">
      <c r="A50" s="174"/>
      <c r="B50" s="282" t="s">
        <v>1230</v>
      </c>
      <c r="C50" s="283"/>
      <c r="D50" s="283"/>
      <c r="E50" s="283"/>
      <c r="F50" s="283"/>
      <c r="G50" s="283"/>
      <c r="H50" s="283"/>
      <c r="I50" s="284"/>
      <c r="J50" s="177"/>
      <c r="K50" s="91"/>
      <c r="L50" s="91"/>
      <c r="M50" s="91"/>
    </row>
    <row r="51" spans="1:13" ht="15" customHeight="1">
      <c r="A51" s="174"/>
      <c r="B51" s="285"/>
      <c r="C51" s="286"/>
      <c r="D51" s="286"/>
      <c r="E51" s="286"/>
      <c r="F51" s="286"/>
      <c r="G51" s="286"/>
      <c r="H51" s="286"/>
      <c r="I51" s="287"/>
      <c r="J51" s="177"/>
      <c r="K51" s="91"/>
      <c r="L51" s="91"/>
      <c r="M51" s="91"/>
    </row>
    <row r="52" spans="1:13" ht="15" customHeight="1">
      <c r="A52" s="174"/>
      <c r="B52" s="285"/>
      <c r="C52" s="286"/>
      <c r="D52" s="286"/>
      <c r="E52" s="286"/>
      <c r="F52" s="286"/>
      <c r="G52" s="286"/>
      <c r="H52" s="286"/>
      <c r="I52" s="287"/>
      <c r="J52" s="177"/>
      <c r="K52" s="91"/>
      <c r="L52" s="91"/>
      <c r="M52" s="91"/>
    </row>
    <row r="53" spans="1:13" ht="15" customHeight="1">
      <c r="A53" s="174"/>
      <c r="B53" s="288"/>
      <c r="C53" s="289"/>
      <c r="D53" s="289"/>
      <c r="E53" s="289"/>
      <c r="F53" s="289"/>
      <c r="G53" s="289"/>
      <c r="H53" s="289"/>
      <c r="I53" s="290"/>
      <c r="J53" s="177"/>
      <c r="K53" s="91"/>
      <c r="L53" s="91"/>
      <c r="M53" s="91"/>
    </row>
    <row r="54" spans="1:13">
      <c r="A54" s="174"/>
      <c r="B54" s="174"/>
      <c r="C54" s="174"/>
      <c r="D54" s="174"/>
      <c r="E54" s="177"/>
      <c r="F54" s="177"/>
      <c r="G54" s="177"/>
      <c r="H54" s="272"/>
      <c r="I54" s="272"/>
      <c r="J54" s="177"/>
      <c r="K54" s="91"/>
      <c r="L54" s="91"/>
      <c r="M54" s="91"/>
    </row>
    <row r="55" spans="1:13">
      <c r="A55" s="91"/>
      <c r="B55" s="91"/>
      <c r="C55" s="91"/>
      <c r="D55" s="91"/>
      <c r="E55" s="101"/>
      <c r="F55" s="101"/>
      <c r="G55" s="101"/>
      <c r="H55" s="101"/>
      <c r="I55" s="101"/>
      <c r="J55" s="101"/>
      <c r="K55" s="91"/>
      <c r="L55" s="91"/>
      <c r="M55" s="91"/>
    </row>
  </sheetData>
  <sheetProtection selectLockedCells="1"/>
  <mergeCells count="14">
    <mergeCell ref="M28:M30"/>
    <mergeCell ref="B4:C4"/>
    <mergeCell ref="B5:D5"/>
    <mergeCell ref="A1:J1"/>
    <mergeCell ref="A2:J2"/>
    <mergeCell ref="E7:I7"/>
    <mergeCell ref="A3:J3"/>
    <mergeCell ref="A8:D8"/>
    <mergeCell ref="H54:I54"/>
    <mergeCell ref="F30:H30"/>
    <mergeCell ref="A12:D12"/>
    <mergeCell ref="A9:D9"/>
    <mergeCell ref="B30:D30"/>
    <mergeCell ref="B50:I53"/>
  </mergeCells>
  <conditionalFormatting sqref="F6">
    <cfRule type="cellIs" dxfId="13" priority="1" operator="lessThan">
      <formula>0</formula>
    </cfRule>
  </conditionalFormatting>
  <printOptions horizontalCentered="1"/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CEB888"/>
  </sheetPr>
  <dimension ref="B1:AU5"/>
  <sheetViews>
    <sheetView zoomScale="80" zoomScaleNormal="80" workbookViewId="0"/>
  </sheetViews>
  <sheetFormatPr defaultColWidth="9.1796875" defaultRowHeight="14.5"/>
  <cols>
    <col min="1" max="1" width="3.54296875" style="111" customWidth="1"/>
    <col min="2" max="2" width="8.453125" style="111" bestFit="1" customWidth="1"/>
    <col min="3" max="3" width="15.26953125" style="182" bestFit="1" customWidth="1"/>
    <col min="4" max="4" width="18.81640625" style="182" bestFit="1" customWidth="1"/>
    <col min="5" max="5" width="26" style="111" customWidth="1"/>
    <col min="6" max="6" width="12.453125" style="111" bestFit="1" customWidth="1"/>
    <col min="7" max="7" width="28" style="111" customWidth="1"/>
    <col min="8" max="8" width="14.453125" style="111" bestFit="1" customWidth="1"/>
    <col min="9" max="9" width="26.54296875" style="111" customWidth="1"/>
    <col min="10" max="10" width="17.81640625" style="111" customWidth="1"/>
    <col min="11" max="11" width="13.81640625" style="111" customWidth="1"/>
    <col min="12" max="12" width="12.54296875" style="111" customWidth="1"/>
    <col min="13" max="13" width="13.26953125" style="111" bestFit="1" customWidth="1"/>
    <col min="14" max="14" width="28.1796875" style="111" customWidth="1"/>
    <col min="15" max="15" width="16.81640625" style="111" bestFit="1" customWidth="1"/>
    <col min="16" max="16" width="14.453125" style="111" bestFit="1" customWidth="1"/>
    <col min="17" max="17" width="16.453125" style="111" customWidth="1"/>
    <col min="18" max="18" width="30.453125" style="111" customWidth="1"/>
    <col min="19" max="19" width="18.453125" style="111" customWidth="1"/>
    <col min="20" max="20" width="14.26953125" style="111" customWidth="1"/>
    <col min="21" max="21" width="16" style="111" customWidth="1"/>
    <col min="22" max="22" width="24.7265625" style="111" customWidth="1"/>
    <col min="23" max="23" width="28" style="111" customWidth="1"/>
    <col min="24" max="25" width="25.7265625" style="111" customWidth="1"/>
    <col min="26" max="26" width="14.453125" style="183" bestFit="1" customWidth="1"/>
    <col min="27" max="27" width="25.7265625" style="184" customWidth="1"/>
    <col min="28" max="37" width="33" style="184" hidden="1" customWidth="1"/>
    <col min="38" max="39" width="25.54296875" style="185" customWidth="1"/>
    <col min="40" max="41" width="30.54296875" style="185" customWidth="1"/>
    <col min="42" max="42" width="22.7265625" style="204" bestFit="1" customWidth="1"/>
    <col min="43" max="43" width="23.1796875" style="205" customWidth="1"/>
    <col min="44" max="44" width="17.54296875" style="205" hidden="1" customWidth="1"/>
    <col min="45" max="45" width="11.26953125" style="111" hidden="1" customWidth="1"/>
    <col min="46" max="46" width="20" style="111" hidden="1" customWidth="1"/>
    <col min="47" max="47" width="21.26953125" style="111" hidden="1" customWidth="1"/>
    <col min="48" max="16384" width="9.1796875" style="111"/>
  </cols>
  <sheetData>
    <row r="1" spans="2:47">
      <c r="B1" s="111" t="s">
        <v>1729</v>
      </c>
      <c r="AP1" s="186" t="s">
        <v>1692</v>
      </c>
      <c r="AQ1" s="187" t="s">
        <v>1688</v>
      </c>
      <c r="AR1" s="187" t="s">
        <v>1689</v>
      </c>
      <c r="AS1" s="188" t="s">
        <v>1690</v>
      </c>
      <c r="AT1" s="188" t="s">
        <v>1688</v>
      </c>
      <c r="AU1" s="188" t="s">
        <v>1691</v>
      </c>
    </row>
    <row r="2" spans="2:47" s="189" customFormat="1">
      <c r="B2" s="189" t="s">
        <v>44</v>
      </c>
      <c r="C2" s="190" t="s">
        <v>17</v>
      </c>
      <c r="D2" s="190" t="s">
        <v>5</v>
      </c>
      <c r="E2" s="189" t="s">
        <v>6</v>
      </c>
      <c r="F2" s="189" t="s">
        <v>19</v>
      </c>
      <c r="G2" s="189" t="s">
        <v>20</v>
      </c>
      <c r="H2" s="189" t="s">
        <v>21</v>
      </c>
      <c r="I2" s="189" t="s">
        <v>22</v>
      </c>
      <c r="J2" s="189" t="s">
        <v>23</v>
      </c>
      <c r="K2" s="189" t="s">
        <v>24</v>
      </c>
      <c r="L2" s="189" t="s">
        <v>25</v>
      </c>
      <c r="M2" s="189" t="s">
        <v>9</v>
      </c>
      <c r="N2" s="189" t="s">
        <v>26</v>
      </c>
      <c r="O2" s="189" t="s">
        <v>27</v>
      </c>
      <c r="P2" s="189" t="s">
        <v>2</v>
      </c>
      <c r="Q2" s="189" t="s">
        <v>28</v>
      </c>
      <c r="R2" s="189" t="s">
        <v>29</v>
      </c>
      <c r="S2" s="189" t="s">
        <v>30</v>
      </c>
      <c r="T2" s="189" t="s">
        <v>31</v>
      </c>
      <c r="U2" s="189" t="s">
        <v>32</v>
      </c>
      <c r="V2" s="189" t="s">
        <v>33</v>
      </c>
      <c r="W2" s="189" t="s">
        <v>54</v>
      </c>
      <c r="X2" s="189" t="s">
        <v>55</v>
      </c>
      <c r="Y2" s="189" t="s">
        <v>1732</v>
      </c>
      <c r="Z2" s="191" t="s">
        <v>13</v>
      </c>
      <c r="AA2" s="192" t="s">
        <v>128</v>
      </c>
      <c r="AB2" s="192" t="s">
        <v>1225</v>
      </c>
      <c r="AC2" s="193" t="s">
        <v>1460</v>
      </c>
      <c r="AD2" s="192" t="s">
        <v>1461</v>
      </c>
      <c r="AE2" s="192" t="s">
        <v>1289</v>
      </c>
      <c r="AF2" s="192" t="s">
        <v>1290</v>
      </c>
      <c r="AG2" s="194" t="s">
        <v>1462</v>
      </c>
      <c r="AH2" s="194" t="s">
        <v>1463</v>
      </c>
      <c r="AI2" s="192" t="s">
        <v>1464</v>
      </c>
      <c r="AJ2" s="192" t="s">
        <v>1465</v>
      </c>
      <c r="AK2" s="192" t="s">
        <v>1291</v>
      </c>
      <c r="AL2" s="189" t="s">
        <v>15</v>
      </c>
      <c r="AM2" s="189" t="s">
        <v>1292</v>
      </c>
      <c r="AN2" s="189" t="s">
        <v>34</v>
      </c>
      <c r="AO2" s="189" t="s">
        <v>1288</v>
      </c>
      <c r="AP2" s="195" t="s">
        <v>1428</v>
      </c>
      <c r="AQ2" s="189" t="s">
        <v>1347</v>
      </c>
      <c r="AR2" s="189" t="s">
        <v>1359</v>
      </c>
      <c r="AS2" s="189" t="s">
        <v>1405</v>
      </c>
      <c r="AT2" s="189" t="s">
        <v>1664</v>
      </c>
      <c r="AU2" s="189" t="s">
        <v>1556</v>
      </c>
    </row>
    <row r="3" spans="2:47">
      <c r="B3"/>
      <c r="C3"/>
      <c r="D3"/>
      <c r="E3"/>
      <c r="F3"/>
      <c r="G3"/>
      <c r="H3"/>
      <c r="I3"/>
      <c r="J3"/>
      <c r="K3"/>
      <c r="L3"/>
      <c r="M3"/>
      <c r="N3"/>
      <c r="O3" s="2"/>
      <c r="P3"/>
      <c r="Q3"/>
      <c r="R3"/>
      <c r="S3"/>
      <c r="T3"/>
      <c r="U3"/>
      <c r="V3"/>
      <c r="W3"/>
      <c r="X3"/>
      <c r="Y3"/>
      <c r="Z3"/>
      <c r="AA3" s="197" t="str">
        <f>IF(LEFT(tbl_TransDet_Exp[[#This Row],[Journal Id]],3)="PAY",tbl_TransDet_Exp[[#This Row],[Amount]]-ROUND(SUMIFS(tbl_HR_GL_Det[Amount],tbl_HR_GL_Det[Department ID],tbl_TransDet_Exp[[#This Row],[Department ID]],tbl_HR_GL_Det[Fund],tbl_TransDet_Exp[[#This Row],[Fund Id]],tbl_HR_GL_Det[Project (Reformat)],tbl_TransDet_Exp[[#This Row],[Project Id]],tbl_HR_GL_Det[Account],tbl_TransDet_Exp[[#This Row],[Account]],tbl_HR_GL_Det[Journal Id],tbl_TransDet_Exp[[#This Row],[Journal Id]]),2),"")</f>
        <v/>
      </c>
      <c r="AB3" s="198" t="b">
        <f>IF(tbl_TransDet_Exp[[#This Row],[+/-  (HR GL Detail)]]&lt;&gt;"",tbl_TransDet_Exp[[#This Row],[+/-  (HR GL Detail)]])</f>
        <v>0</v>
      </c>
      <c r="AC3" s="198" t="str">
        <f>$AC$2</f>
        <v>https://financials.omni.fsu.edu/psp/sprdfi/EMPLOYEE/ERP/c/AUDIT_EXPENSE_FUNCTIONS.TE_EXP_SHEET_INQ.GBL?SHEET_ID=</v>
      </c>
      <c r="AD3" s="198" t="str">
        <f>$AD$2</f>
        <v>&amp;PAGE=EX_SHEET_ENTRY</v>
      </c>
      <c r="AE3" s="198" t="str">
        <f>IF(LEFT(tbl_TransDet_Exp[[#This Row],[Journal Id]],2)="EX",TEXT(tbl_TransDet_Exp[[#This Row],[Vch /Ex /PayId]],"0000000000"),"")</f>
        <v/>
      </c>
      <c r="AF3" s="198" t="b">
        <f>IF(tbl_TransDet_Exp[[#This Row],[ER Lookup and Format]]&lt;&gt;"",CONCATENATE(tbl_TransDet_Exp[[#This Row],[https://financials.omni.fsu.edu/psp/sprdfi/EMPLOYEE/ERP/c/AUDIT_EXPENSE_FUNCTIONS.TE_EXP_SHEET_INQ.GBL?SHEET_ID=]],AE3,tbl_TransDet_Exp[[#This Row],[&amp;PAGE=EX_SHEET_ENTRY]]))</f>
        <v>0</v>
      </c>
      <c r="AG3" s="198" t="str">
        <f>$AG$2</f>
        <v>https://docmgmt.its.fsu.edu/NolijWeb/public/apiLoginCheck.jsp?redir=../documentviewer/%3FdocumentId%3D</v>
      </c>
      <c r="AH3" s="198" t="str">
        <f>tbl_TransDet_Exp[[#Headers],[https://financials.omni.fsu.edu/psp/sprdfi_1/EMPLOYEE/ERP/c/ENTER_VOUCHER_INFORMATION.VCHR_EXPRESS.GBL?Page=VCHR_EXPRESS1&amp;Action=U&amp;BUSINESS_UNIT=FSU01&amp;VOUCHER_ID=]]</f>
        <v>https://financials.omni.fsu.edu/psp/sprdfi_1/EMPLOYEE/ERP/c/ENTER_VOUCHER_INFORMATION.VCHR_EXPRESS.GBL?Page=VCHR_EXPRESS1&amp;Action=U&amp;BUSINESS_UNIT=FSU01&amp;VOUCHER_ID=</v>
      </c>
      <c r="AI3" s="198" t="str">
        <f>tbl_TransDet_Exp[[#Headers],[&amp;TargetFrameName=None]]</f>
        <v>&amp;TargetFrameName=None</v>
      </c>
      <c r="AJ3" s="198" t="str">
        <f>CONCATENATE(tbl_TransDet_Exp[[#This Row],[https://financials.omni.fsu.edu/psp/sprdfi_1/EMPLOYEE/ERP/c/ENTER_VOUCHER_INFORMATION.VCHR_EXPRESS.GBL?Page=VCHR_EXPRESS1&amp;Action=U&amp;BUSINESS_UNIT=FSU01&amp;VOUCHER_ID=]],TEXT(tbl_TransDet_Exp[[#This Row],[Vch /Ex /PayId]],"00000000"),tbl_TransDet_Exp[[#This Row],[&amp;TargetFrameName=None]])</f>
        <v>https://financials.omni.fsu.edu/psp/sprdfi_1/EMPLOYEE/ERP/c/ENTER_VOUCHER_INFORMATION.VCHR_EXPRESS.GBL?Page=VCHR_EXPRESS1&amp;Action=U&amp;BUSINESS_UNIT=FSU01&amp;VOUCHER_ID=00000000&amp;TargetFrameName=None</v>
      </c>
      <c r="AK3" s="198" t="b">
        <f>IFERROR(IF(AND(LEFT(tbl_TransDet_Exp[[#This Row],[Journal Id]],2)="AP",tbl_TransDet_Exp[[#This Row],[Vendor / Employee]]&lt;&gt;"FIA Card Services"),tbl_TransDet_Exp[[#This Row],[Voucher Concat]],tbl_TransDet_Exp[[#This Row],[Travel Concat]]),"")</f>
        <v>0</v>
      </c>
      <c r="AL3" s="199" t="str">
        <f>IF(tbl_TransDet_Exp[[#This Row],[Vendor / Employee]]="FIA CARD SERVICES","P-Card/NO LINK",IF(LEFT(tbl_TransDet_Exp[[#This Row],[Inv /Ref Id / Grp Id]],3)="AUX",HYPERLINK(CONCATENATE("https://financials.omni.fsu.edu/psp/sprdfi/EMPLOYEE/ERP/c/ENTER_BILLING_INFORMATION.BI_INQUIRY.GBL?BUSINESS_UNIT=AUX01&amp;INVOICE=",tbl_TransDet_Exp[[#This Row],[Inv /Ref Id / Grp Id]],"&amp;PAGE=BI_HDR_INQ"),CONCATENATE("Postage:",tbl_TransDet_Exp[[#This Row],[Inv /Ref Id / Grp Id]])),IF(tbl_TransDet_Exp[[#This Row],[Link Formula]]=FALSE, HYPERLINK(CONCATENATE("https://financials.omni.fsu.edu/psp/sprdfi/EMPLOYEE/ERP/c/PROCESS_JOURNALS.JOURNAL_ENTRY_IE.GBL?BUSINESS_UNIT=FSU01&amp;JOURNAL_DATE=",TEXT(tbl_TransDet_Exp[[#This Row],[Journal Date]],"yyyy-mm-dd"), "&amp;JOURNAL_ID=",TEXT(tbl_TransDet_Exp[[#This Row],[Journal Id]],"0000000000"), "&amp;PAGE=JOURNAL_ENTRY1"),CONCATENATE("Link to OMNI Source (",tbl_TransDet_Exp[[#This Row],[Journal Id]],")")),HYPERLINK(tbl_TransDet_Exp[[#This Row],[Link Formula]],CONCATENATE("Link to OMNI Source (",tbl_TransDet_Exp[[#This Row],[Journal Id]],")")))))</f>
        <v>Link to OMNI Source ()</v>
      </c>
      <c r="AM3" s="200"/>
      <c r="AN3" s="201"/>
      <c r="AO3" s="201"/>
      <c r="AP3" s="202"/>
      <c r="AQ3" s="203" t="e">
        <f>IF(tbl_TransDet_Exp[[#This Row],[Custom SR Type]]="",INDEX(SR_Lookup[Section Name],MATCH(tbl_TransDet_Exp[[#This Row],[Account]],SR_Lookup[Account],0)),tbl_TransDet_Exp[[#This Row],[Custom SR Type]])</f>
        <v>#N/A</v>
      </c>
      <c r="AR3" s="203">
        <f>VALUE(CONCATENATE(C3,TEXT(tbl_TransDet_Exp[[#This Row],[Pd]],"00")))</f>
        <v>0</v>
      </c>
      <c r="AS3" s="203" t="str">
        <f>TEXT(tbl_TransDet_Exp[[#This Row],[Project Id]],"000000")</f>
        <v>000000</v>
      </c>
      <c r="AT3" s="203" t="e">
        <f>INDEX(Table11[Description],MATCH(tbl_TransDet_Exp[[#This Row],[Account]],Table11[GL Account],0))</f>
        <v>#N/A</v>
      </c>
      <c r="AU3" s="203" t="str">
        <f>TEXT(IFERROR(IF(LEFT(tbl_TransDet_Exp[[#This Row],[Account]],2)="78",INDEX(Table11[Budgetary Account],MATCH(tbl_TransDet_Exp[[#This Row],[Account]],Table11[GL Account],0)),IF(LEFT(tbl_TransDet_Exp[[#This Row],[Account]],2)="71",INDEX(Table11[Budgetary Account],MATCH(tbl_TransDet_Exp[[#This Row],[Account]],Table11[GL Account],0)),INDEX(Table11[Sub-Budgetary Account],MATCH(tbl_TransDet_Exp[[#This Row],[Account]],Table11[GL Account],0)))),"000000"),"000000")</f>
        <v>000000</v>
      </c>
    </row>
    <row r="4" spans="2:47">
      <c r="B4"/>
      <c r="C4"/>
      <c r="D4"/>
      <c r="E4"/>
      <c r="F4"/>
      <c r="G4"/>
      <c r="H4"/>
      <c r="I4"/>
      <c r="J4"/>
      <c r="K4"/>
      <c r="L4"/>
      <c r="M4"/>
      <c r="N4"/>
      <c r="O4" s="2"/>
      <c r="P4"/>
      <c r="Q4"/>
      <c r="R4"/>
      <c r="S4"/>
      <c r="T4"/>
      <c r="U4"/>
      <c r="V4"/>
      <c r="W4"/>
      <c r="X4"/>
      <c r="Y4"/>
      <c r="Z4"/>
      <c r="AA4" s="197" t="str">
        <f>IF(LEFT(tbl_TransDet_Exp[[#This Row],[Journal Id]],3)="PAY",tbl_TransDet_Exp[[#This Row],[Amount]]-ROUND(SUMIFS(tbl_HR_GL_Det[Amount],tbl_HR_GL_Det[Department ID],tbl_TransDet_Exp[[#This Row],[Department ID]],tbl_HR_GL_Det[Fund],tbl_TransDet_Exp[[#This Row],[Fund Id]],tbl_HR_GL_Det[Project (Reformat)],tbl_TransDet_Exp[[#This Row],[Project Id]],tbl_HR_GL_Det[Account],tbl_TransDet_Exp[[#This Row],[Account]],tbl_HR_GL_Det[Journal Id],tbl_TransDet_Exp[[#This Row],[Journal Id]]),2),"")</f>
        <v/>
      </c>
      <c r="AB4" s="198" t="b">
        <f>IF(tbl_TransDet_Exp[[#This Row],[+/-  (HR GL Detail)]]&lt;&gt;"",tbl_TransDet_Exp[[#This Row],[+/-  (HR GL Detail)]])</f>
        <v>0</v>
      </c>
      <c r="AC4" s="198" t="str">
        <f t="shared" ref="AC4:AC5" si="0">$AC$2</f>
        <v>https://financials.omni.fsu.edu/psp/sprdfi/EMPLOYEE/ERP/c/AUDIT_EXPENSE_FUNCTIONS.TE_EXP_SHEET_INQ.GBL?SHEET_ID=</v>
      </c>
      <c r="AD4" s="198" t="str">
        <f t="shared" ref="AD4:AD5" si="1">$AD$2</f>
        <v>&amp;PAGE=EX_SHEET_ENTRY</v>
      </c>
      <c r="AE4" s="198" t="str">
        <f>IF(LEFT(tbl_TransDet_Exp[[#This Row],[Journal Id]],2)="EX",TEXT(tbl_TransDet_Exp[[#This Row],[Vch /Ex /PayId]],"0000000000"),"")</f>
        <v/>
      </c>
      <c r="AF4" s="198" t="b">
        <f>IF(tbl_TransDet_Exp[[#This Row],[ER Lookup and Format]]&lt;&gt;"",CONCATENATE(tbl_TransDet_Exp[[#This Row],[https://financials.omni.fsu.edu/psp/sprdfi/EMPLOYEE/ERP/c/AUDIT_EXPENSE_FUNCTIONS.TE_EXP_SHEET_INQ.GBL?SHEET_ID=]],AE4,tbl_TransDet_Exp[[#This Row],[&amp;PAGE=EX_SHEET_ENTRY]]))</f>
        <v>0</v>
      </c>
      <c r="AG4" s="198" t="str">
        <f t="shared" ref="AG4:AG5" si="2">$AG$2</f>
        <v>https://docmgmt.its.fsu.edu/NolijWeb/public/apiLoginCheck.jsp?redir=../documentviewer/%3FdocumentId%3D</v>
      </c>
      <c r="AH4" s="198" t="str">
        <f>tbl_TransDet_Exp[[#Headers],[https://financials.omni.fsu.edu/psp/sprdfi_1/EMPLOYEE/ERP/c/ENTER_VOUCHER_INFORMATION.VCHR_EXPRESS.GBL?Page=VCHR_EXPRESS1&amp;Action=U&amp;BUSINESS_UNIT=FSU01&amp;VOUCHER_ID=]]</f>
        <v>https://financials.omni.fsu.edu/psp/sprdfi_1/EMPLOYEE/ERP/c/ENTER_VOUCHER_INFORMATION.VCHR_EXPRESS.GBL?Page=VCHR_EXPRESS1&amp;Action=U&amp;BUSINESS_UNIT=FSU01&amp;VOUCHER_ID=</v>
      </c>
      <c r="AI4" s="198" t="str">
        <f>tbl_TransDet_Exp[[#Headers],[&amp;TargetFrameName=None]]</f>
        <v>&amp;TargetFrameName=None</v>
      </c>
      <c r="AJ4" s="198" t="str">
        <f>CONCATENATE(tbl_TransDet_Exp[[#This Row],[https://financials.omni.fsu.edu/psp/sprdfi_1/EMPLOYEE/ERP/c/ENTER_VOUCHER_INFORMATION.VCHR_EXPRESS.GBL?Page=VCHR_EXPRESS1&amp;Action=U&amp;BUSINESS_UNIT=FSU01&amp;VOUCHER_ID=]],TEXT(tbl_TransDet_Exp[[#This Row],[Vch /Ex /PayId]],"00000000"),tbl_TransDet_Exp[[#This Row],[&amp;TargetFrameName=None]])</f>
        <v>https://financials.omni.fsu.edu/psp/sprdfi_1/EMPLOYEE/ERP/c/ENTER_VOUCHER_INFORMATION.VCHR_EXPRESS.GBL?Page=VCHR_EXPRESS1&amp;Action=U&amp;BUSINESS_UNIT=FSU01&amp;VOUCHER_ID=00000000&amp;TargetFrameName=None</v>
      </c>
      <c r="AK4" s="198" t="b">
        <f>IFERROR(IF(AND(LEFT(tbl_TransDet_Exp[[#This Row],[Journal Id]],2)="AP",tbl_TransDet_Exp[[#This Row],[Vendor / Employee]]&lt;&gt;"FIA Card Services"),tbl_TransDet_Exp[[#This Row],[Voucher Concat]],tbl_TransDet_Exp[[#This Row],[Travel Concat]]),"")</f>
        <v>0</v>
      </c>
      <c r="AL4" s="199" t="str">
        <f>IF(tbl_TransDet_Exp[[#This Row],[Vendor / Employee]]="FIA CARD SERVICES","P-Card/NO LINK",IF(LEFT(tbl_TransDet_Exp[[#This Row],[Inv /Ref Id / Grp Id]],3)="AUX",HYPERLINK(CONCATENATE("https://financials.omni.fsu.edu/psp/sprdfi/EMPLOYEE/ERP/c/ENTER_BILLING_INFORMATION.BI_INQUIRY.GBL?BUSINESS_UNIT=AUX01&amp;INVOICE=",tbl_TransDet_Exp[[#This Row],[Inv /Ref Id / Grp Id]],"&amp;PAGE=BI_HDR_INQ"),CONCATENATE("Postage:",tbl_TransDet_Exp[[#This Row],[Inv /Ref Id / Grp Id]])),IF(tbl_TransDet_Exp[[#This Row],[Link Formula]]=FALSE, HYPERLINK(CONCATENATE("https://financials.omni.fsu.edu/psp/sprdfi/EMPLOYEE/ERP/c/PROCESS_JOURNALS.JOURNAL_ENTRY_IE.GBL?BUSINESS_UNIT=FSU01&amp;JOURNAL_DATE=",TEXT(tbl_TransDet_Exp[[#This Row],[Journal Date]],"yyyy-mm-dd"), "&amp;JOURNAL_ID=",TEXT(tbl_TransDet_Exp[[#This Row],[Journal Id]],"0000000000"), "&amp;PAGE=JOURNAL_ENTRY1"),CONCATENATE("Link to OMNI Source (",tbl_TransDet_Exp[[#This Row],[Journal Id]],")")),HYPERLINK(tbl_TransDet_Exp[[#This Row],[Link Formula]],CONCATENATE("Link to OMNI Source (",tbl_TransDet_Exp[[#This Row],[Journal Id]],")")))))</f>
        <v>Link to OMNI Source ()</v>
      </c>
      <c r="AM4" s="200"/>
      <c r="AN4" s="201"/>
      <c r="AO4" s="201"/>
      <c r="AP4" s="202"/>
      <c r="AQ4" s="203" t="e">
        <f>IF(tbl_TransDet_Exp[[#This Row],[Custom SR Type]]="",INDEX(SR_Lookup[Section Name],MATCH(tbl_TransDet_Exp[[#This Row],[Account]],SR_Lookup[Account],0)),tbl_TransDet_Exp[[#This Row],[Custom SR Type]])</f>
        <v>#N/A</v>
      </c>
      <c r="AR4" s="203">
        <f>VALUE(CONCATENATE(C4,TEXT(tbl_TransDet_Exp[[#This Row],[Pd]],"00")))</f>
        <v>0</v>
      </c>
      <c r="AS4" s="203" t="str">
        <f>TEXT(tbl_TransDet_Exp[[#This Row],[Project Id]],"000000")</f>
        <v>000000</v>
      </c>
      <c r="AT4" s="203" t="e">
        <f>INDEX(Table11[Description],MATCH(tbl_TransDet_Exp[[#This Row],[Account]],Table11[GL Account],0))</f>
        <v>#N/A</v>
      </c>
      <c r="AU4" s="203" t="str">
        <f>TEXT(IFERROR(IF(LEFT(tbl_TransDet_Exp[[#This Row],[Account]],2)="78",INDEX(Table11[Budgetary Account],MATCH(tbl_TransDet_Exp[[#This Row],[Account]],Table11[GL Account],0)),IF(LEFT(tbl_TransDet_Exp[[#This Row],[Account]],2)="71",INDEX(Table11[Budgetary Account],MATCH(tbl_TransDet_Exp[[#This Row],[Account]],Table11[GL Account],0)),INDEX(Table11[Sub-Budgetary Account],MATCH(tbl_TransDet_Exp[[#This Row],[Account]],Table11[GL Account],0)))),"000000"),"000000")</f>
        <v>000000</v>
      </c>
    </row>
    <row r="5" spans="2:47">
      <c r="B5"/>
      <c r="C5"/>
      <c r="D5"/>
      <c r="E5"/>
      <c r="F5"/>
      <c r="G5"/>
      <c r="H5"/>
      <c r="I5"/>
      <c r="J5"/>
      <c r="K5"/>
      <c r="L5"/>
      <c r="M5"/>
      <c r="N5"/>
      <c r="O5" s="2"/>
      <c r="P5"/>
      <c r="Q5"/>
      <c r="R5"/>
      <c r="S5"/>
      <c r="T5"/>
      <c r="U5"/>
      <c r="V5"/>
      <c r="W5"/>
      <c r="X5"/>
      <c r="Y5"/>
      <c r="Z5"/>
      <c r="AA5" s="197" t="str">
        <f>IF(LEFT(tbl_TransDet_Exp[[#This Row],[Journal Id]],3)="PAY",tbl_TransDet_Exp[[#This Row],[Amount]]-ROUND(SUMIFS(tbl_HR_GL_Det[Amount],tbl_HR_GL_Det[Department ID],tbl_TransDet_Exp[[#This Row],[Department ID]],tbl_HR_GL_Det[Fund],tbl_TransDet_Exp[[#This Row],[Fund Id]],tbl_HR_GL_Det[Project (Reformat)],tbl_TransDet_Exp[[#This Row],[Project Id]],tbl_HR_GL_Det[Account],tbl_TransDet_Exp[[#This Row],[Account]],tbl_HR_GL_Det[Journal Id],tbl_TransDet_Exp[[#This Row],[Journal Id]]),2),"")</f>
        <v/>
      </c>
      <c r="AB5" s="198" t="b">
        <f>IF(tbl_TransDet_Exp[[#This Row],[+/-  (HR GL Detail)]]&lt;&gt;"",tbl_TransDet_Exp[[#This Row],[+/-  (HR GL Detail)]])</f>
        <v>0</v>
      </c>
      <c r="AC5" s="198" t="str">
        <f t="shared" si="0"/>
        <v>https://financials.omni.fsu.edu/psp/sprdfi/EMPLOYEE/ERP/c/AUDIT_EXPENSE_FUNCTIONS.TE_EXP_SHEET_INQ.GBL?SHEET_ID=</v>
      </c>
      <c r="AD5" s="198" t="str">
        <f t="shared" si="1"/>
        <v>&amp;PAGE=EX_SHEET_ENTRY</v>
      </c>
      <c r="AE5" s="198" t="str">
        <f>IF(LEFT(tbl_TransDet_Exp[[#This Row],[Journal Id]],2)="EX",TEXT(tbl_TransDet_Exp[[#This Row],[Vch /Ex /PayId]],"0000000000"),"")</f>
        <v/>
      </c>
      <c r="AF5" s="198" t="b">
        <f>IF(tbl_TransDet_Exp[[#This Row],[ER Lookup and Format]]&lt;&gt;"",CONCATENATE(tbl_TransDet_Exp[[#This Row],[https://financials.omni.fsu.edu/psp/sprdfi/EMPLOYEE/ERP/c/AUDIT_EXPENSE_FUNCTIONS.TE_EXP_SHEET_INQ.GBL?SHEET_ID=]],AE5,tbl_TransDet_Exp[[#This Row],[&amp;PAGE=EX_SHEET_ENTRY]]))</f>
        <v>0</v>
      </c>
      <c r="AG5" s="198" t="str">
        <f t="shared" si="2"/>
        <v>https://docmgmt.its.fsu.edu/NolijWeb/public/apiLoginCheck.jsp?redir=../documentviewer/%3FdocumentId%3D</v>
      </c>
      <c r="AH5" s="198" t="str">
        <f>tbl_TransDet_Exp[[#Headers],[https://financials.omni.fsu.edu/psp/sprdfi_1/EMPLOYEE/ERP/c/ENTER_VOUCHER_INFORMATION.VCHR_EXPRESS.GBL?Page=VCHR_EXPRESS1&amp;Action=U&amp;BUSINESS_UNIT=FSU01&amp;VOUCHER_ID=]]</f>
        <v>https://financials.omni.fsu.edu/psp/sprdfi_1/EMPLOYEE/ERP/c/ENTER_VOUCHER_INFORMATION.VCHR_EXPRESS.GBL?Page=VCHR_EXPRESS1&amp;Action=U&amp;BUSINESS_UNIT=FSU01&amp;VOUCHER_ID=</v>
      </c>
      <c r="AI5" s="198" t="str">
        <f>tbl_TransDet_Exp[[#Headers],[&amp;TargetFrameName=None]]</f>
        <v>&amp;TargetFrameName=None</v>
      </c>
      <c r="AJ5" s="198" t="str">
        <f>CONCATENATE(tbl_TransDet_Exp[[#This Row],[https://financials.omni.fsu.edu/psp/sprdfi_1/EMPLOYEE/ERP/c/ENTER_VOUCHER_INFORMATION.VCHR_EXPRESS.GBL?Page=VCHR_EXPRESS1&amp;Action=U&amp;BUSINESS_UNIT=FSU01&amp;VOUCHER_ID=]],TEXT(tbl_TransDet_Exp[[#This Row],[Vch /Ex /PayId]],"00000000"),tbl_TransDet_Exp[[#This Row],[&amp;TargetFrameName=None]])</f>
        <v>https://financials.omni.fsu.edu/psp/sprdfi_1/EMPLOYEE/ERP/c/ENTER_VOUCHER_INFORMATION.VCHR_EXPRESS.GBL?Page=VCHR_EXPRESS1&amp;Action=U&amp;BUSINESS_UNIT=FSU01&amp;VOUCHER_ID=00000000&amp;TargetFrameName=None</v>
      </c>
      <c r="AK5" s="198" t="b">
        <f>IFERROR(IF(AND(LEFT(tbl_TransDet_Exp[[#This Row],[Journal Id]],2)="AP",tbl_TransDet_Exp[[#This Row],[Vendor / Employee]]&lt;&gt;"FIA Card Services"),tbl_TransDet_Exp[[#This Row],[Voucher Concat]],tbl_TransDet_Exp[[#This Row],[Travel Concat]]),"")</f>
        <v>0</v>
      </c>
      <c r="AL5" s="199" t="str">
        <f>IF(tbl_TransDet_Exp[[#This Row],[Vendor / Employee]]="FIA CARD SERVICES","P-Card/NO LINK",IF(LEFT(tbl_TransDet_Exp[[#This Row],[Inv /Ref Id / Grp Id]],3)="AUX",HYPERLINK(CONCATENATE("https://financials.omni.fsu.edu/psp/sprdfi/EMPLOYEE/ERP/c/ENTER_BILLING_INFORMATION.BI_INQUIRY.GBL?BUSINESS_UNIT=AUX01&amp;INVOICE=",tbl_TransDet_Exp[[#This Row],[Inv /Ref Id / Grp Id]],"&amp;PAGE=BI_HDR_INQ"),CONCATENATE("Postage:",tbl_TransDet_Exp[[#This Row],[Inv /Ref Id / Grp Id]])),IF(tbl_TransDet_Exp[[#This Row],[Link Formula]]=FALSE, HYPERLINK(CONCATENATE("https://financials.omni.fsu.edu/psp/sprdfi/EMPLOYEE/ERP/c/PROCESS_JOURNALS.JOURNAL_ENTRY_IE.GBL?BUSINESS_UNIT=FSU01&amp;JOURNAL_DATE=",TEXT(tbl_TransDet_Exp[[#This Row],[Journal Date]],"yyyy-mm-dd"), "&amp;JOURNAL_ID=",TEXT(tbl_TransDet_Exp[[#This Row],[Journal Id]],"0000000000"), "&amp;PAGE=JOURNAL_ENTRY1"),CONCATENATE("Link to OMNI Source (",tbl_TransDet_Exp[[#This Row],[Journal Id]],")")),HYPERLINK(tbl_TransDet_Exp[[#This Row],[Link Formula]],CONCATENATE("Link to OMNI Source (",tbl_TransDet_Exp[[#This Row],[Journal Id]],")")))))</f>
        <v>Link to OMNI Source ()</v>
      </c>
      <c r="AM5" s="200"/>
      <c r="AN5" s="201"/>
      <c r="AO5" s="201"/>
      <c r="AP5" s="202"/>
      <c r="AQ5" s="203" t="e">
        <f>IF(tbl_TransDet_Exp[[#This Row],[Custom SR Type]]="",INDEX(SR_Lookup[Section Name],MATCH(tbl_TransDet_Exp[[#This Row],[Account]],SR_Lookup[Account],0)),tbl_TransDet_Exp[[#This Row],[Custom SR Type]])</f>
        <v>#N/A</v>
      </c>
      <c r="AR5" s="203">
        <f>VALUE(CONCATENATE(C5,TEXT(tbl_TransDet_Exp[[#This Row],[Pd]],"00")))</f>
        <v>0</v>
      </c>
      <c r="AS5" s="203" t="str">
        <f>TEXT(tbl_TransDet_Exp[[#This Row],[Project Id]],"000000")</f>
        <v>000000</v>
      </c>
      <c r="AT5" s="203" t="e">
        <f>INDEX(Table11[Description],MATCH(tbl_TransDet_Exp[[#This Row],[Account]],Table11[GL Account],0))</f>
        <v>#N/A</v>
      </c>
      <c r="AU5" s="203" t="str">
        <f>TEXT(IFERROR(IF(LEFT(tbl_TransDet_Exp[[#This Row],[Account]],2)="78",INDEX(Table11[Budgetary Account],MATCH(tbl_TransDet_Exp[[#This Row],[Account]],Table11[GL Account],0)),IF(LEFT(tbl_TransDet_Exp[[#This Row],[Account]],2)="71",INDEX(Table11[Budgetary Account],MATCH(tbl_TransDet_Exp[[#This Row],[Account]],Table11[GL Account],0)),INDEX(Table11[Sub-Budgetary Account],MATCH(tbl_TransDet_Exp[[#This Row],[Account]],Table11[GL Account],0)))),"000000"),"000000")</f>
        <v>000000</v>
      </c>
    </row>
  </sheetData>
  <sheetProtection formatCells="0" formatColumns="0" formatRows="0" insertRows="0" deleteRows="0" sort="0" autoFilter="0" pivotTables="0"/>
  <conditionalFormatting sqref="B3:AU5">
    <cfRule type="expression" dxfId="12" priority="72">
      <formula>$AB3=0</formula>
    </cfRule>
  </conditionalFormatting>
  <conditionalFormatting sqref="AA3:AK5">
    <cfRule type="expression" dxfId="11" priority="74">
      <formula>$AB3&lt;&gt;0</formula>
    </cfRule>
  </conditionalFormatting>
  <hyperlinks>
    <hyperlink ref="AC2" r:id="rId1" xr:uid="{00000000-0004-0000-0200-000000000000}"/>
    <hyperlink ref="AG2" r:id="rId2" xr:uid="{00000000-0004-0000-0200-000001000000}"/>
    <hyperlink ref="AH2" r:id="rId3" xr:uid="{00000000-0004-0000-0200-000002000000}"/>
  </hyperlinks>
  <pageMargins left="0.7" right="0.7" top="0.75" bottom="0.75" header="0.3" footer="0.3"/>
  <pageSetup orientation="portrait" r:id="rId4"/>
  <tableParts count="1"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CEB888"/>
  </sheetPr>
  <dimension ref="B1:AA5"/>
  <sheetViews>
    <sheetView workbookViewId="0"/>
  </sheetViews>
  <sheetFormatPr defaultColWidth="9.1796875" defaultRowHeight="14.5"/>
  <cols>
    <col min="1" max="1" width="3.54296875" style="111" customWidth="1"/>
    <col min="2" max="2" width="8.453125" style="111" bestFit="1" customWidth="1"/>
    <col min="3" max="3" width="15.26953125" style="182" bestFit="1" customWidth="1"/>
    <col min="4" max="4" width="18.7265625" style="182" bestFit="1" customWidth="1"/>
    <col min="5" max="5" width="26" style="111" bestFit="1" customWidth="1"/>
    <col min="6" max="6" width="15.1796875" style="111" bestFit="1" customWidth="1"/>
    <col min="7" max="7" width="28" style="111" bestFit="1" customWidth="1"/>
    <col min="8" max="8" width="14.453125" style="111" bestFit="1" customWidth="1"/>
    <col min="9" max="9" width="26.54296875" style="111" bestFit="1" customWidth="1"/>
    <col min="10" max="12" width="17.81640625" style="111" bestFit="1" customWidth="1"/>
    <col min="13" max="13" width="13.26953125" style="111" bestFit="1" customWidth="1"/>
    <col min="14" max="14" width="27.26953125" style="111" bestFit="1" customWidth="1"/>
    <col min="15" max="15" width="17.7265625" style="111" bestFit="1" customWidth="1"/>
    <col min="16" max="16" width="23.1796875" style="111" bestFit="1" customWidth="1"/>
    <col min="17" max="17" width="23.1796875" style="111" customWidth="1"/>
    <col min="18" max="18" width="22.26953125" style="111" bestFit="1" customWidth="1"/>
    <col min="19" max="19" width="32.7265625" style="196" bestFit="1" customWidth="1"/>
    <col min="20" max="20" width="25.54296875" style="185" customWidth="1"/>
    <col min="21" max="21" width="30.54296875" style="185" customWidth="1"/>
    <col min="22" max="22" width="25.453125" style="185" bestFit="1" customWidth="1"/>
    <col min="23" max="23" width="20.1796875" style="204" bestFit="1" customWidth="1"/>
    <col min="24" max="24" width="20.1796875" style="205" customWidth="1"/>
    <col min="25" max="25" width="12.26953125" style="111" customWidth="1"/>
    <col min="26" max="26" width="20" style="111" customWidth="1"/>
    <col min="27" max="27" width="21.26953125" style="111" customWidth="1"/>
    <col min="28" max="16384" width="9.1796875" style="111"/>
  </cols>
  <sheetData>
    <row r="1" spans="2:27">
      <c r="B1" s="111" t="s">
        <v>1728</v>
      </c>
    </row>
    <row r="2" spans="2:27" s="189" customFormat="1">
      <c r="B2" s="189" t="s">
        <v>44</v>
      </c>
      <c r="C2" s="190" t="s">
        <v>17</v>
      </c>
      <c r="D2" s="190" t="s">
        <v>18</v>
      </c>
      <c r="E2" s="189" t="s">
        <v>6</v>
      </c>
      <c r="F2" s="189" t="s">
        <v>45</v>
      </c>
      <c r="G2" s="189" t="s">
        <v>46</v>
      </c>
      <c r="H2" s="189" t="s">
        <v>21</v>
      </c>
      <c r="I2" s="189" t="s">
        <v>8</v>
      </c>
      <c r="J2" s="189" t="s">
        <v>47</v>
      </c>
      <c r="K2" s="189" t="s">
        <v>48</v>
      </c>
      <c r="L2" s="189" t="s">
        <v>49</v>
      </c>
      <c r="M2" s="189" t="s">
        <v>9</v>
      </c>
      <c r="N2" s="206" t="s">
        <v>26</v>
      </c>
      <c r="O2" s="195" t="s">
        <v>53</v>
      </c>
      <c r="P2" s="189" t="s">
        <v>50</v>
      </c>
      <c r="Q2" s="189" t="s">
        <v>51</v>
      </c>
      <c r="R2" s="189" t="s">
        <v>52</v>
      </c>
      <c r="S2" s="207" t="s">
        <v>13</v>
      </c>
      <c r="T2" s="189" t="s">
        <v>15</v>
      </c>
      <c r="U2" s="189" t="s">
        <v>1230</v>
      </c>
      <c r="V2" s="189" t="s">
        <v>16</v>
      </c>
      <c r="W2" s="195" t="s">
        <v>1428</v>
      </c>
      <c r="X2" s="195" t="s">
        <v>1347</v>
      </c>
      <c r="Y2" s="189" t="s">
        <v>1404</v>
      </c>
      <c r="Z2" s="189" t="s">
        <v>1664</v>
      </c>
      <c r="AA2" s="189" t="s">
        <v>1556</v>
      </c>
    </row>
    <row r="3" spans="2:27">
      <c r="B3"/>
      <c r="C3"/>
      <c r="D3"/>
      <c r="E3"/>
      <c r="F3"/>
      <c r="G3"/>
      <c r="H3"/>
      <c r="I3"/>
      <c r="J3"/>
      <c r="K3"/>
      <c r="L3"/>
      <c r="M3"/>
      <c r="N3"/>
      <c r="O3" s="44"/>
      <c r="P3"/>
      <c r="Q3"/>
      <c r="R3"/>
      <c r="S3"/>
      <c r="T3" s="201" t="str">
        <f>IF(LEFT(tbl_TransDet_Enc[[#This Row],[Source Doc Id]],2)="Tr",HYPERLINK(CONCATENATE("https://financials.omni.fsu.edu/psp/sprdfi/EMPLOYEE/ERP/c/AUDIT_EXPENSE_FUNCTIONS.TE_TAUTH_INQ.GBL?TRAVEL_AUTH_ID=",RIGHT(tbl_TransDet_Enc[[#This Row],[Source Doc Id]],10),"&amp;PAGE=EX_TAUTH_ENTRY"),tbl_TransDet_Enc[[#This Row],[Source Doc Id]]),IF(LEFT(tbl_TransDet_Enc[[#This Row],[Source Doc Id]],2)="PO",HYPERLINK(CONCATENATE("https://financials.omni.fsu.edu/psp/sprdfi/EMPLOYEE/ERP/c/MANAGE_PURCHASE_ORDERS.PO_INQUIRY.GBL?BUSINESS_UNIT=FSU01&amp;PO_ID=",RIGHT(tbl_TransDet_Enc[[#This Row],[Source Doc Id]],10),"&amp;PAGE=PO_LINE_INQ"),tbl_TransDet_Enc[[#This Row],[Source Doc Id]]),""))</f>
        <v/>
      </c>
      <c r="U3" s="201"/>
      <c r="V3" s="201"/>
      <c r="W3" s="208"/>
      <c r="X3" s="209" t="e">
        <f>IF(tbl_TransDet_Enc[[#This Row],[Custom SR Type]]="",INDEX(SR_Lookup[Section Name],MATCH(tbl_TransDet_Enc[[#This Row],[Account]],SR_Lookup[Account],0)),tbl_TransDet_Enc[[#This Row],[Custom SR Type]])</f>
        <v>#N/A</v>
      </c>
      <c r="Y3" s="210" t="str">
        <f>TEXT(tbl_TransDet_Enc[[#This Row],[Project Id]],"000000")</f>
        <v>000000</v>
      </c>
      <c r="Z3" s="203" t="e">
        <f>INDEX(Table11[Description],MATCH(tbl_TransDet_Enc[[#This Row],[Account]],Table11[GL Account],0))</f>
        <v>#N/A</v>
      </c>
      <c r="AA3" s="209" t="str">
        <f>TEXT(IFERROR(IF(LEFT(tbl_TransDet_Enc[[#This Row],[Account]],2)="78",INDEX(Table11[Budgetary Account],MATCH(tbl_TransDet_Enc[[#This Row],[Account]],Table11[GL Account],0)),IF(LEFT(tbl_TransDet_Enc[[#This Row],[Account]],2)="71",INDEX(Table11[Budgetary Account],MATCH(tbl_TransDet_Enc[[#This Row],[Account]],Table11[GL Account],0)),INDEX(Table11[Sub-Budgetary Account],MATCH(tbl_TransDet_Enc[[#This Row],[Account]],Table11[GL Account],0)))),"000000"),"000000")</f>
        <v>000000</v>
      </c>
    </row>
    <row r="4" spans="2:27">
      <c r="B4"/>
      <c r="C4"/>
      <c r="D4"/>
      <c r="E4"/>
      <c r="F4"/>
      <c r="G4"/>
      <c r="H4"/>
      <c r="I4"/>
      <c r="J4"/>
      <c r="K4"/>
      <c r="L4"/>
      <c r="M4"/>
      <c r="N4"/>
      <c r="O4" s="44"/>
      <c r="P4"/>
      <c r="Q4"/>
      <c r="R4"/>
      <c r="S4"/>
      <c r="T4" s="201" t="str">
        <f>IF(LEFT(tbl_TransDet_Enc[[#This Row],[Source Doc Id]],2)="Tr",HYPERLINK(CONCATENATE("https://financials.omni.fsu.edu/psp/sprdfi/EMPLOYEE/ERP/c/AUDIT_EXPENSE_FUNCTIONS.TE_TAUTH_INQ.GBL?TRAVEL_AUTH_ID=",RIGHT(tbl_TransDet_Enc[[#This Row],[Source Doc Id]],10),"&amp;PAGE=EX_TAUTH_ENTRY"),tbl_TransDet_Enc[[#This Row],[Source Doc Id]]),IF(LEFT(tbl_TransDet_Enc[[#This Row],[Source Doc Id]],2)="PO",HYPERLINK(CONCATENATE("https://financials.omni.fsu.edu/psp/sprdfi/EMPLOYEE/ERP/c/MANAGE_PURCHASE_ORDERS.PO_INQUIRY.GBL?BUSINESS_UNIT=FSU01&amp;PO_ID=",RIGHT(tbl_TransDet_Enc[[#This Row],[Source Doc Id]],10),"&amp;PAGE=PO_LINE_INQ"),tbl_TransDet_Enc[[#This Row],[Source Doc Id]]),""))</f>
        <v/>
      </c>
      <c r="U4" s="201"/>
      <c r="V4" s="201"/>
      <c r="W4" s="208"/>
      <c r="X4" s="209" t="e">
        <f>IF(tbl_TransDet_Enc[[#This Row],[Custom SR Type]]="",INDEX(SR_Lookup[Section Name],MATCH(tbl_TransDet_Enc[[#This Row],[Account]],SR_Lookup[Account],0)),tbl_TransDet_Enc[[#This Row],[Custom SR Type]])</f>
        <v>#N/A</v>
      </c>
      <c r="Y4" s="210" t="str">
        <f>TEXT(tbl_TransDet_Enc[[#This Row],[Project Id]],"000000")</f>
        <v>000000</v>
      </c>
      <c r="Z4" s="203" t="e">
        <f>INDEX(Table11[Description],MATCH(tbl_TransDet_Enc[[#This Row],[Account]],Table11[GL Account],0))</f>
        <v>#N/A</v>
      </c>
      <c r="AA4" s="209" t="str">
        <f>TEXT(IFERROR(IF(LEFT(tbl_TransDet_Enc[[#This Row],[Account]],2)="78",INDEX(Table11[Budgetary Account],MATCH(tbl_TransDet_Enc[[#This Row],[Account]],Table11[GL Account],0)),IF(LEFT(tbl_TransDet_Enc[[#This Row],[Account]],2)="71",INDEX(Table11[Budgetary Account],MATCH(tbl_TransDet_Enc[[#This Row],[Account]],Table11[GL Account],0)),INDEX(Table11[Sub-Budgetary Account],MATCH(tbl_TransDet_Enc[[#This Row],[Account]],Table11[GL Account],0)))),"000000"),"000000")</f>
        <v>000000</v>
      </c>
    </row>
    <row r="5" spans="2:27">
      <c r="B5"/>
      <c r="C5"/>
      <c r="D5"/>
      <c r="E5"/>
      <c r="F5"/>
      <c r="G5"/>
      <c r="H5"/>
      <c r="I5"/>
      <c r="J5"/>
      <c r="K5"/>
      <c r="L5"/>
      <c r="M5"/>
      <c r="N5"/>
      <c r="O5" s="44"/>
      <c r="P5"/>
      <c r="Q5"/>
      <c r="R5"/>
      <c r="S5"/>
      <c r="T5" s="201" t="str">
        <f>IF(LEFT(tbl_TransDet_Enc[[#This Row],[Source Doc Id]],2)="Tr",HYPERLINK(CONCATENATE("https://financials.omni.fsu.edu/psp/sprdfi/EMPLOYEE/ERP/c/AUDIT_EXPENSE_FUNCTIONS.TE_TAUTH_INQ.GBL?TRAVEL_AUTH_ID=",RIGHT(tbl_TransDet_Enc[[#This Row],[Source Doc Id]],10),"&amp;PAGE=EX_TAUTH_ENTRY"),tbl_TransDet_Enc[[#This Row],[Source Doc Id]]),IF(LEFT(tbl_TransDet_Enc[[#This Row],[Source Doc Id]],2)="PO",HYPERLINK(CONCATENATE("https://financials.omni.fsu.edu/psp/sprdfi/EMPLOYEE/ERP/c/MANAGE_PURCHASE_ORDERS.PO_INQUIRY.GBL?BUSINESS_UNIT=FSU01&amp;PO_ID=",RIGHT(tbl_TransDet_Enc[[#This Row],[Source Doc Id]],10),"&amp;PAGE=PO_LINE_INQ"),tbl_TransDet_Enc[[#This Row],[Source Doc Id]]),""))</f>
        <v/>
      </c>
      <c r="U5" s="201"/>
      <c r="V5" s="201"/>
      <c r="W5" s="208"/>
      <c r="X5" s="209" t="e">
        <f>IF(tbl_TransDet_Enc[[#This Row],[Custom SR Type]]="",INDEX(SR_Lookup[Section Name],MATCH(tbl_TransDet_Enc[[#This Row],[Account]],SR_Lookup[Account],0)),tbl_TransDet_Enc[[#This Row],[Custom SR Type]])</f>
        <v>#N/A</v>
      </c>
      <c r="Y5" s="210" t="str">
        <f>TEXT(tbl_TransDet_Enc[[#This Row],[Project Id]],"000000")</f>
        <v>000000</v>
      </c>
      <c r="Z5" s="203" t="e">
        <f>INDEX(Table11[Description],MATCH(tbl_TransDet_Enc[[#This Row],[Account]],Table11[GL Account],0))</f>
        <v>#N/A</v>
      </c>
      <c r="AA5" s="209" t="str">
        <f>TEXT(IFERROR(IF(LEFT(tbl_TransDet_Enc[[#This Row],[Account]],2)="78",INDEX(Table11[Budgetary Account],MATCH(tbl_TransDet_Enc[[#This Row],[Account]],Table11[GL Account],0)),IF(LEFT(tbl_TransDet_Enc[[#This Row],[Account]],2)="71",INDEX(Table11[Budgetary Account],MATCH(tbl_TransDet_Enc[[#This Row],[Account]],Table11[GL Account],0)),INDEX(Table11[Sub-Budgetary Account],MATCH(tbl_TransDet_Enc[[#This Row],[Account]],Table11[GL Account],0)))),"000000"),"000000")</f>
        <v>000000</v>
      </c>
    </row>
  </sheetData>
  <protectedRanges>
    <protectedRange sqref="X3" name="Range1"/>
  </protectedRanges>
  <conditionalFormatting sqref="X3:X5">
    <cfRule type="expression" dxfId="10" priority="69">
      <formula>#REF!=0</formula>
    </cfRule>
  </conditionalFormatting>
  <conditionalFormatting sqref="Z3:Z5">
    <cfRule type="expression" dxfId="9" priority="2">
      <formula>#REF!=0</formula>
    </cfRule>
  </conditionalFormatting>
  <conditionalFormatting sqref="AA3:AA5">
    <cfRule type="expression" dxfId="8" priority="1">
      <formula>#REF!=0</formula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EB888"/>
  </sheetPr>
  <dimension ref="B1:S5"/>
  <sheetViews>
    <sheetView workbookViewId="0"/>
  </sheetViews>
  <sheetFormatPr defaultColWidth="9.1796875" defaultRowHeight="14.5"/>
  <cols>
    <col min="1" max="1" width="3.54296875" style="111" customWidth="1"/>
    <col min="2" max="2" width="14.453125" style="111" bestFit="1" customWidth="1"/>
    <col min="3" max="3" width="11.54296875" style="111" bestFit="1" customWidth="1"/>
    <col min="4" max="4" width="15.26953125" style="196" bestFit="1" customWidth="1"/>
    <col min="5" max="5" width="18.81640625" style="111" bestFit="1" customWidth="1"/>
    <col min="6" max="6" width="27.1796875" style="111" bestFit="1" customWidth="1"/>
    <col min="7" max="7" width="10.453125" style="111" bestFit="1" customWidth="1"/>
    <col min="8" max="8" width="12.453125" style="111" bestFit="1" customWidth="1"/>
    <col min="9" max="9" width="13.26953125" style="111" bestFit="1" customWidth="1"/>
    <col min="10" max="10" width="22.81640625" style="111" bestFit="1" customWidth="1"/>
    <col min="11" max="11" width="22.81640625" style="111" customWidth="1"/>
    <col min="12" max="12" width="27.81640625" style="111" bestFit="1" customWidth="1"/>
    <col min="13" max="13" width="12.7265625" style="111" bestFit="1" customWidth="1"/>
    <col min="14" max="14" width="9.453125" style="111" bestFit="1" customWidth="1"/>
    <col min="15" max="15" width="13.1796875" style="111" bestFit="1" customWidth="1"/>
    <col min="16" max="16" width="13.1796875" style="211" bestFit="1" customWidth="1"/>
    <col min="17" max="17" width="17.54296875" style="111" bestFit="1" customWidth="1"/>
    <col min="18" max="18" width="30.54296875" style="212" customWidth="1"/>
    <col min="19" max="19" width="20.81640625" style="111" hidden="1" customWidth="1"/>
    <col min="20" max="16384" width="9.1796875" style="111"/>
  </cols>
  <sheetData>
    <row r="1" spans="2:19">
      <c r="B1" s="111" t="s">
        <v>1730</v>
      </c>
    </row>
    <row r="2" spans="2:19" s="189" customFormat="1">
      <c r="B2" s="189" t="s">
        <v>2</v>
      </c>
      <c r="C2" s="189" t="s">
        <v>3</v>
      </c>
      <c r="D2" s="195" t="s">
        <v>4</v>
      </c>
      <c r="E2" s="189" t="s">
        <v>5</v>
      </c>
      <c r="F2" s="189" t="s">
        <v>6</v>
      </c>
      <c r="G2" s="189" t="s">
        <v>7</v>
      </c>
      <c r="H2" s="189" t="s">
        <v>8</v>
      </c>
      <c r="I2" s="189" t="s">
        <v>9</v>
      </c>
      <c r="J2" s="189" t="s">
        <v>10</v>
      </c>
      <c r="K2" s="189" t="s">
        <v>1734</v>
      </c>
      <c r="L2" s="189" t="s">
        <v>0</v>
      </c>
      <c r="M2" s="189" t="s">
        <v>1</v>
      </c>
      <c r="N2" s="189" t="s">
        <v>11</v>
      </c>
      <c r="O2" s="189" t="s">
        <v>12</v>
      </c>
      <c r="P2" s="213" t="s">
        <v>13</v>
      </c>
      <c r="Q2" s="189" t="s">
        <v>14</v>
      </c>
      <c r="R2" s="214" t="s">
        <v>1230</v>
      </c>
      <c r="S2" s="189" t="s">
        <v>1215</v>
      </c>
    </row>
    <row r="3" spans="2:19">
      <c r="B3"/>
      <c r="C3"/>
      <c r="D3" s="2"/>
      <c r="E3" s="2"/>
      <c r="F3"/>
      <c r="G3"/>
      <c r="H3"/>
      <c r="I3"/>
      <c r="J3"/>
      <c r="K3"/>
      <c r="L3"/>
      <c r="M3"/>
      <c r="N3"/>
      <c r="O3"/>
      <c r="P3"/>
      <c r="Q3"/>
      <c r="R3" s="201"/>
      <c r="S3" s="210"/>
    </row>
    <row r="4" spans="2:19">
      <c r="B4"/>
      <c r="C4"/>
      <c r="D4" s="2"/>
      <c r="E4" s="2"/>
      <c r="F4"/>
      <c r="G4"/>
      <c r="H4"/>
      <c r="I4"/>
      <c r="J4"/>
      <c r="K4"/>
      <c r="L4"/>
      <c r="M4"/>
      <c r="N4"/>
      <c r="O4"/>
      <c r="P4"/>
      <c r="Q4"/>
      <c r="R4" s="201"/>
      <c r="S4" s="210"/>
    </row>
    <row r="5" spans="2:19">
      <c r="B5"/>
      <c r="C5"/>
      <c r="D5" s="2"/>
      <c r="E5" s="2"/>
      <c r="F5"/>
      <c r="G5"/>
      <c r="H5"/>
      <c r="I5"/>
      <c r="J5"/>
      <c r="K5"/>
      <c r="L5"/>
      <c r="M5"/>
      <c r="N5"/>
      <c r="O5"/>
      <c r="P5"/>
      <c r="Q5"/>
      <c r="R5" s="201"/>
      <c r="S5" s="210"/>
    </row>
  </sheetData>
  <conditionalFormatting sqref="B3:K5">
    <cfRule type="expression" dxfId="7" priority="1">
      <formula>#REF!="Other"</formula>
    </cfRule>
    <cfRule type="expression" dxfId="6" priority="2">
      <formula>#REF!&lt;&gt;0</formula>
    </cfRule>
    <cfRule type="expression" dxfId="5" priority="3">
      <formula>#REF!&lt;&gt;""</formula>
    </cfRule>
  </conditionalFormatting>
  <conditionalFormatting sqref="L3:Q5">
    <cfRule type="expression" dxfId="4" priority="4">
      <formula>#REF!="Other"</formula>
    </cfRule>
    <cfRule type="expression" dxfId="3" priority="5">
      <formula>#REF!&lt;&gt;0</formula>
    </cfRule>
    <cfRule type="expression" dxfId="2" priority="6">
      <formula>#REF!&lt;&gt;""</formula>
    </cfRule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2:E1205"/>
  <sheetViews>
    <sheetView workbookViewId="0"/>
  </sheetViews>
  <sheetFormatPr defaultRowHeight="14.5"/>
  <cols>
    <col min="1" max="1" width="3.54296875" customWidth="1"/>
    <col min="2" max="2" width="14.54296875" bestFit="1" customWidth="1"/>
    <col min="3" max="3" width="29" bestFit="1" customWidth="1"/>
    <col min="5" max="5" width="11.81640625" bestFit="1" customWidth="1"/>
  </cols>
  <sheetData>
    <row r="2" spans="2:5">
      <c r="B2" t="s">
        <v>125</v>
      </c>
      <c r="C2" t="s">
        <v>126</v>
      </c>
      <c r="D2" t="s">
        <v>127</v>
      </c>
      <c r="E2" t="s">
        <v>1214</v>
      </c>
    </row>
    <row r="3" spans="2:5">
      <c r="B3" s="4">
        <v>0</v>
      </c>
      <c r="C3" s="4" t="s">
        <v>129</v>
      </c>
      <c r="D3">
        <v>3</v>
      </c>
      <c r="E3" t="str">
        <f>IF(tbl_SalAccts[[#This Row],[Value]]=1,"Salary",IF(tbl_SalAccts[[#This Row],[Value]]=2,"Fringe",IF(tbl_SalAccts[[#This Row],[Value]]=3,"Other","")))</f>
        <v>Other</v>
      </c>
    </row>
    <row r="4" spans="2:5">
      <c r="B4">
        <v>5</v>
      </c>
      <c r="C4" t="s">
        <v>130</v>
      </c>
      <c r="D4">
        <v>3</v>
      </c>
      <c r="E4" t="str">
        <f>IF(tbl_SalAccts[[#This Row],[Value]]=1,"Salary",IF(tbl_SalAccts[[#This Row],[Value]]=2,"Fringe",IF(tbl_SalAccts[[#This Row],[Value]]=3,"Other","")))</f>
        <v>Other</v>
      </c>
    </row>
    <row r="5" spans="2:5">
      <c r="B5">
        <v>100000</v>
      </c>
      <c r="C5" t="s">
        <v>131</v>
      </c>
      <c r="D5">
        <v>3</v>
      </c>
      <c r="E5" t="str">
        <f>IF(tbl_SalAccts[[#This Row],[Value]]=1,"Salary",IF(tbl_SalAccts[[#This Row],[Value]]=2,"Fringe",IF(tbl_SalAccts[[#This Row],[Value]]=3,"Other","")))</f>
        <v>Other</v>
      </c>
    </row>
    <row r="6" spans="2:5">
      <c r="B6">
        <v>100001</v>
      </c>
      <c r="C6" t="s">
        <v>132</v>
      </c>
      <c r="D6">
        <v>3</v>
      </c>
      <c r="E6" t="str">
        <f>IF(tbl_SalAccts[[#This Row],[Value]]=1,"Salary",IF(tbl_SalAccts[[#This Row],[Value]]=2,"Fringe",IF(tbl_SalAccts[[#This Row],[Value]]=3,"Other","")))</f>
        <v>Other</v>
      </c>
    </row>
    <row r="7" spans="2:5">
      <c r="B7">
        <v>111000</v>
      </c>
      <c r="C7" t="s">
        <v>133</v>
      </c>
      <c r="D7">
        <v>3</v>
      </c>
      <c r="E7" t="str">
        <f>IF(tbl_SalAccts[[#This Row],[Value]]=1,"Salary",IF(tbl_SalAccts[[#This Row],[Value]]=2,"Fringe",IF(tbl_SalAccts[[#This Row],[Value]]=3,"Other","")))</f>
        <v>Other</v>
      </c>
    </row>
    <row r="8" spans="2:5">
      <c r="B8">
        <v>112000</v>
      </c>
      <c r="C8" t="s">
        <v>134</v>
      </c>
      <c r="D8">
        <v>3</v>
      </c>
      <c r="E8" t="str">
        <f>IF(tbl_SalAccts[[#This Row],[Value]]=1,"Salary",IF(tbl_SalAccts[[#This Row],[Value]]=2,"Fringe",IF(tbl_SalAccts[[#This Row],[Value]]=3,"Other","")))</f>
        <v>Other</v>
      </c>
    </row>
    <row r="9" spans="2:5">
      <c r="B9">
        <v>112001</v>
      </c>
      <c r="C9" t="s">
        <v>135</v>
      </c>
      <c r="D9">
        <v>3</v>
      </c>
      <c r="E9" t="str">
        <f>IF(tbl_SalAccts[[#This Row],[Value]]=1,"Salary",IF(tbl_SalAccts[[#This Row],[Value]]=2,"Fringe",IF(tbl_SalAccts[[#This Row],[Value]]=3,"Other","")))</f>
        <v>Other</v>
      </c>
    </row>
    <row r="10" spans="2:5">
      <c r="B10">
        <v>112002</v>
      </c>
      <c r="C10" t="s">
        <v>136</v>
      </c>
      <c r="D10">
        <v>3</v>
      </c>
      <c r="E10" t="str">
        <f>IF(tbl_SalAccts[[#This Row],[Value]]=1,"Salary",IF(tbl_SalAccts[[#This Row],[Value]]=2,"Fringe",IF(tbl_SalAccts[[#This Row],[Value]]=3,"Other","")))</f>
        <v>Other</v>
      </c>
    </row>
    <row r="11" spans="2:5">
      <c r="B11">
        <v>112003</v>
      </c>
      <c r="C11" t="s">
        <v>137</v>
      </c>
      <c r="D11">
        <v>3</v>
      </c>
      <c r="E11" t="str">
        <f>IF(tbl_SalAccts[[#This Row],[Value]]=1,"Salary",IF(tbl_SalAccts[[#This Row],[Value]]=2,"Fringe",IF(tbl_SalAccts[[#This Row],[Value]]=3,"Other","")))</f>
        <v>Other</v>
      </c>
    </row>
    <row r="12" spans="2:5">
      <c r="B12">
        <v>112004</v>
      </c>
      <c r="C12" t="s">
        <v>138</v>
      </c>
      <c r="D12">
        <v>3</v>
      </c>
      <c r="E12" t="str">
        <f>IF(tbl_SalAccts[[#This Row],[Value]]=1,"Salary",IF(tbl_SalAccts[[#This Row],[Value]]=2,"Fringe",IF(tbl_SalAccts[[#This Row],[Value]]=3,"Other","")))</f>
        <v>Other</v>
      </c>
    </row>
    <row r="13" spans="2:5">
      <c r="B13">
        <v>112005</v>
      </c>
      <c r="C13" t="s">
        <v>139</v>
      </c>
      <c r="D13">
        <v>3</v>
      </c>
      <c r="E13" t="str">
        <f>IF(tbl_SalAccts[[#This Row],[Value]]=1,"Salary",IF(tbl_SalAccts[[#This Row],[Value]]=2,"Fringe",IF(tbl_SalAccts[[#This Row],[Value]]=3,"Other","")))</f>
        <v>Other</v>
      </c>
    </row>
    <row r="14" spans="2:5">
      <c r="B14">
        <v>112130</v>
      </c>
      <c r="C14" t="s">
        <v>140</v>
      </c>
      <c r="D14">
        <v>3</v>
      </c>
      <c r="E14" t="str">
        <f>IF(tbl_SalAccts[[#This Row],[Value]]=1,"Salary",IF(tbl_SalAccts[[#This Row],[Value]]=2,"Fringe",IF(tbl_SalAccts[[#This Row],[Value]]=3,"Other","")))</f>
        <v>Other</v>
      </c>
    </row>
    <row r="15" spans="2:5">
      <c r="B15">
        <v>112999</v>
      </c>
      <c r="C15" t="s">
        <v>141</v>
      </c>
      <c r="D15">
        <v>3</v>
      </c>
      <c r="E15" t="str">
        <f>IF(tbl_SalAccts[[#This Row],[Value]]=1,"Salary",IF(tbl_SalAccts[[#This Row],[Value]]=2,"Fringe",IF(tbl_SalAccts[[#This Row],[Value]]=3,"Other","")))</f>
        <v>Other</v>
      </c>
    </row>
    <row r="16" spans="2:5">
      <c r="B16">
        <v>113000</v>
      </c>
      <c r="C16" t="s">
        <v>142</v>
      </c>
      <c r="D16">
        <v>3</v>
      </c>
      <c r="E16" t="str">
        <f>IF(tbl_SalAccts[[#This Row],[Value]]=1,"Salary",IF(tbl_SalAccts[[#This Row],[Value]]=2,"Fringe",IF(tbl_SalAccts[[#This Row],[Value]]=3,"Other","")))</f>
        <v>Other</v>
      </c>
    </row>
    <row r="17" spans="2:5">
      <c r="B17">
        <v>113001</v>
      </c>
      <c r="C17" t="s">
        <v>143</v>
      </c>
      <c r="D17">
        <v>3</v>
      </c>
      <c r="E17" t="str">
        <f>IF(tbl_SalAccts[[#This Row],[Value]]=1,"Salary",IF(tbl_SalAccts[[#This Row],[Value]]=2,"Fringe",IF(tbl_SalAccts[[#This Row],[Value]]=3,"Other","")))</f>
        <v>Other</v>
      </c>
    </row>
    <row r="18" spans="2:5">
      <c r="B18">
        <v>114000</v>
      </c>
      <c r="C18" t="s">
        <v>144</v>
      </c>
      <c r="D18">
        <v>3</v>
      </c>
      <c r="E18" t="str">
        <f>IF(tbl_SalAccts[[#This Row],[Value]]=1,"Salary",IF(tbl_SalAccts[[#This Row],[Value]]=2,"Fringe",IF(tbl_SalAccts[[#This Row],[Value]]=3,"Other","")))</f>
        <v>Other</v>
      </c>
    </row>
    <row r="19" spans="2:5">
      <c r="B19">
        <v>140000</v>
      </c>
      <c r="C19" t="s">
        <v>145</v>
      </c>
      <c r="D19">
        <v>3</v>
      </c>
      <c r="E19" t="str">
        <f>IF(tbl_SalAccts[[#This Row],[Value]]=1,"Salary",IF(tbl_SalAccts[[#This Row],[Value]]=2,"Fringe",IF(tbl_SalAccts[[#This Row],[Value]]=3,"Other","")))</f>
        <v>Other</v>
      </c>
    </row>
    <row r="20" spans="2:5">
      <c r="B20">
        <v>142000</v>
      </c>
      <c r="C20" t="s">
        <v>146</v>
      </c>
      <c r="D20">
        <v>3</v>
      </c>
      <c r="E20" t="str">
        <f>IF(tbl_SalAccts[[#This Row],[Value]]=1,"Salary",IF(tbl_SalAccts[[#This Row],[Value]]=2,"Fringe",IF(tbl_SalAccts[[#This Row],[Value]]=3,"Other","")))</f>
        <v>Other</v>
      </c>
    </row>
    <row r="21" spans="2:5">
      <c r="B21">
        <v>143000</v>
      </c>
      <c r="C21" t="s">
        <v>147</v>
      </c>
      <c r="D21">
        <v>3</v>
      </c>
      <c r="E21" t="str">
        <f>IF(tbl_SalAccts[[#This Row],[Value]]=1,"Salary",IF(tbl_SalAccts[[#This Row],[Value]]=2,"Fringe",IF(tbl_SalAccts[[#This Row],[Value]]=3,"Other","")))</f>
        <v>Other</v>
      </c>
    </row>
    <row r="22" spans="2:5">
      <c r="B22">
        <v>143990</v>
      </c>
      <c r="C22" t="s">
        <v>148</v>
      </c>
      <c r="D22">
        <v>3</v>
      </c>
      <c r="E22" t="str">
        <f>IF(tbl_SalAccts[[#This Row],[Value]]=1,"Salary",IF(tbl_SalAccts[[#This Row],[Value]]=2,"Fringe",IF(tbl_SalAccts[[#This Row],[Value]]=3,"Other","")))</f>
        <v>Other</v>
      </c>
    </row>
    <row r="23" spans="2:5">
      <c r="B23">
        <v>147000</v>
      </c>
      <c r="C23" t="s">
        <v>149</v>
      </c>
      <c r="D23">
        <v>3</v>
      </c>
      <c r="E23" t="str">
        <f>IF(tbl_SalAccts[[#This Row],[Value]]=1,"Salary",IF(tbl_SalAccts[[#This Row],[Value]]=2,"Fringe",IF(tbl_SalAccts[[#This Row],[Value]]=3,"Other","")))</f>
        <v>Other</v>
      </c>
    </row>
    <row r="24" spans="2:5">
      <c r="B24">
        <v>151000</v>
      </c>
      <c r="C24" t="s">
        <v>150</v>
      </c>
      <c r="D24">
        <v>3</v>
      </c>
      <c r="E24" t="str">
        <f>IF(tbl_SalAccts[[#This Row],[Value]]=1,"Salary",IF(tbl_SalAccts[[#This Row],[Value]]=2,"Fringe",IF(tbl_SalAccts[[#This Row],[Value]]=3,"Other","")))</f>
        <v>Other</v>
      </c>
    </row>
    <row r="25" spans="2:5">
      <c r="B25">
        <v>151001</v>
      </c>
      <c r="C25" t="s">
        <v>151</v>
      </c>
      <c r="D25">
        <v>3</v>
      </c>
      <c r="E25" t="str">
        <f>IF(tbl_SalAccts[[#This Row],[Value]]=1,"Salary",IF(tbl_SalAccts[[#This Row],[Value]]=2,"Fringe",IF(tbl_SalAccts[[#This Row],[Value]]=3,"Other","")))</f>
        <v>Other</v>
      </c>
    </row>
    <row r="26" spans="2:5">
      <c r="B26">
        <v>151005</v>
      </c>
      <c r="C26" t="s">
        <v>152</v>
      </c>
      <c r="D26">
        <v>3</v>
      </c>
      <c r="E26" t="str">
        <f>IF(tbl_SalAccts[[#This Row],[Value]]=1,"Salary",IF(tbl_SalAccts[[#This Row],[Value]]=2,"Fringe",IF(tbl_SalAccts[[#This Row],[Value]]=3,"Other","")))</f>
        <v>Other</v>
      </c>
    </row>
    <row r="27" spans="2:5">
      <c r="B27">
        <v>151010</v>
      </c>
      <c r="C27" t="s">
        <v>153</v>
      </c>
      <c r="D27">
        <v>3</v>
      </c>
      <c r="E27" t="str">
        <f>IF(tbl_SalAccts[[#This Row],[Value]]=1,"Salary",IF(tbl_SalAccts[[#This Row],[Value]]=2,"Fringe",IF(tbl_SalAccts[[#This Row],[Value]]=3,"Other","")))</f>
        <v>Other</v>
      </c>
    </row>
    <row r="28" spans="2:5">
      <c r="B28">
        <v>151011</v>
      </c>
      <c r="C28" t="s">
        <v>154</v>
      </c>
      <c r="D28">
        <v>3</v>
      </c>
      <c r="E28" t="str">
        <f>IF(tbl_SalAccts[[#This Row],[Value]]=1,"Salary",IF(tbl_SalAccts[[#This Row],[Value]]=2,"Fringe",IF(tbl_SalAccts[[#This Row],[Value]]=3,"Other","")))</f>
        <v>Other</v>
      </c>
    </row>
    <row r="29" spans="2:5">
      <c r="B29">
        <v>151100</v>
      </c>
      <c r="C29" t="s">
        <v>155</v>
      </c>
      <c r="D29">
        <v>3</v>
      </c>
      <c r="E29" t="str">
        <f>IF(tbl_SalAccts[[#This Row],[Value]]=1,"Salary",IF(tbl_SalAccts[[#This Row],[Value]]=2,"Fringe",IF(tbl_SalAccts[[#This Row],[Value]]=3,"Other","")))</f>
        <v>Other</v>
      </c>
    </row>
    <row r="30" spans="2:5">
      <c r="B30">
        <v>151200</v>
      </c>
      <c r="C30" t="s">
        <v>156</v>
      </c>
      <c r="D30">
        <v>3</v>
      </c>
      <c r="E30" t="str">
        <f>IF(tbl_SalAccts[[#This Row],[Value]]=1,"Salary",IF(tbl_SalAccts[[#This Row],[Value]]=2,"Fringe",IF(tbl_SalAccts[[#This Row],[Value]]=3,"Other","")))</f>
        <v>Other</v>
      </c>
    </row>
    <row r="31" spans="2:5">
      <c r="B31">
        <v>151300</v>
      </c>
      <c r="C31" t="s">
        <v>157</v>
      </c>
      <c r="D31">
        <v>3</v>
      </c>
      <c r="E31" t="str">
        <f>IF(tbl_SalAccts[[#This Row],[Value]]=1,"Salary",IF(tbl_SalAccts[[#This Row],[Value]]=2,"Fringe",IF(tbl_SalAccts[[#This Row],[Value]]=3,"Other","")))</f>
        <v>Other</v>
      </c>
    </row>
    <row r="32" spans="2:5">
      <c r="B32">
        <v>153000</v>
      </c>
      <c r="C32" t="s">
        <v>158</v>
      </c>
      <c r="D32">
        <v>3</v>
      </c>
      <c r="E32" t="str">
        <f>IF(tbl_SalAccts[[#This Row],[Value]]=1,"Salary",IF(tbl_SalAccts[[#This Row],[Value]]=2,"Fringe",IF(tbl_SalAccts[[#This Row],[Value]]=3,"Other","")))</f>
        <v>Other</v>
      </c>
    </row>
    <row r="33" spans="2:5">
      <c r="B33">
        <v>153200</v>
      </c>
      <c r="C33" t="s">
        <v>159</v>
      </c>
      <c r="D33">
        <v>3</v>
      </c>
      <c r="E33" t="str">
        <f>IF(tbl_SalAccts[[#This Row],[Value]]=1,"Salary",IF(tbl_SalAccts[[#This Row],[Value]]=2,"Fringe",IF(tbl_SalAccts[[#This Row],[Value]]=3,"Other","")))</f>
        <v>Other</v>
      </c>
    </row>
    <row r="34" spans="2:5">
      <c r="B34">
        <v>154000</v>
      </c>
      <c r="C34" t="s">
        <v>160</v>
      </c>
      <c r="D34">
        <v>3</v>
      </c>
      <c r="E34" t="str">
        <f>IF(tbl_SalAccts[[#This Row],[Value]]=1,"Salary",IF(tbl_SalAccts[[#This Row],[Value]]=2,"Fringe",IF(tbl_SalAccts[[#This Row],[Value]]=3,"Other","")))</f>
        <v>Other</v>
      </c>
    </row>
    <row r="35" spans="2:5">
      <c r="B35">
        <v>155000</v>
      </c>
      <c r="C35" t="s">
        <v>161</v>
      </c>
      <c r="D35">
        <v>3</v>
      </c>
      <c r="E35" t="str">
        <f>IF(tbl_SalAccts[[#This Row],[Value]]=1,"Salary",IF(tbl_SalAccts[[#This Row],[Value]]=2,"Fringe",IF(tbl_SalAccts[[#This Row],[Value]]=3,"Other","")))</f>
        <v>Other</v>
      </c>
    </row>
    <row r="36" spans="2:5">
      <c r="B36">
        <v>155001</v>
      </c>
      <c r="C36" t="s">
        <v>162</v>
      </c>
      <c r="D36">
        <v>3</v>
      </c>
      <c r="E36" t="str">
        <f>IF(tbl_SalAccts[[#This Row],[Value]]=1,"Salary",IF(tbl_SalAccts[[#This Row],[Value]]=2,"Fringe",IF(tbl_SalAccts[[#This Row],[Value]]=3,"Other","")))</f>
        <v>Other</v>
      </c>
    </row>
    <row r="37" spans="2:5">
      <c r="B37">
        <v>159000</v>
      </c>
      <c r="C37" t="s">
        <v>163</v>
      </c>
      <c r="D37">
        <v>3</v>
      </c>
      <c r="E37" t="str">
        <f>IF(tbl_SalAccts[[#This Row],[Value]]=1,"Salary",IF(tbl_SalAccts[[#This Row],[Value]]=2,"Fringe",IF(tbl_SalAccts[[#This Row],[Value]]=3,"Other","")))</f>
        <v>Other</v>
      </c>
    </row>
    <row r="38" spans="2:5">
      <c r="B38">
        <v>159100</v>
      </c>
      <c r="C38" t="s">
        <v>164</v>
      </c>
      <c r="D38">
        <v>3</v>
      </c>
      <c r="E38" t="str">
        <f>IF(tbl_SalAccts[[#This Row],[Value]]=1,"Salary",IF(tbl_SalAccts[[#This Row],[Value]]=2,"Fringe",IF(tbl_SalAccts[[#This Row],[Value]]=3,"Other","")))</f>
        <v>Other</v>
      </c>
    </row>
    <row r="39" spans="2:5">
      <c r="B39">
        <v>159200</v>
      </c>
      <c r="C39" t="s">
        <v>165</v>
      </c>
      <c r="D39">
        <v>3</v>
      </c>
      <c r="E39" t="str">
        <f>IF(tbl_SalAccts[[#This Row],[Value]]=1,"Salary",IF(tbl_SalAccts[[#This Row],[Value]]=2,"Fringe",IF(tbl_SalAccts[[#This Row],[Value]]=3,"Other","")))</f>
        <v>Other</v>
      </c>
    </row>
    <row r="40" spans="2:5">
      <c r="B40">
        <v>159300</v>
      </c>
      <c r="C40" t="s">
        <v>166</v>
      </c>
      <c r="D40">
        <v>3</v>
      </c>
      <c r="E40" t="str">
        <f>IF(tbl_SalAccts[[#This Row],[Value]]=1,"Salary",IF(tbl_SalAccts[[#This Row],[Value]]=2,"Fringe",IF(tbl_SalAccts[[#This Row],[Value]]=3,"Other","")))</f>
        <v>Other</v>
      </c>
    </row>
    <row r="41" spans="2:5">
      <c r="B41">
        <v>159400</v>
      </c>
      <c r="C41" t="s">
        <v>167</v>
      </c>
      <c r="D41">
        <v>3</v>
      </c>
      <c r="E41" t="str">
        <f>IF(tbl_SalAccts[[#This Row],[Value]]=1,"Salary",IF(tbl_SalAccts[[#This Row],[Value]]=2,"Fringe",IF(tbl_SalAccts[[#This Row],[Value]]=3,"Other","")))</f>
        <v>Other</v>
      </c>
    </row>
    <row r="42" spans="2:5">
      <c r="B42">
        <v>159500</v>
      </c>
      <c r="C42" t="s">
        <v>168</v>
      </c>
      <c r="D42">
        <v>3</v>
      </c>
      <c r="E42" t="str">
        <f>IF(tbl_SalAccts[[#This Row],[Value]]=1,"Salary",IF(tbl_SalAccts[[#This Row],[Value]]=2,"Fringe",IF(tbl_SalAccts[[#This Row],[Value]]=3,"Other","")))</f>
        <v>Other</v>
      </c>
    </row>
    <row r="43" spans="2:5">
      <c r="B43">
        <v>161000</v>
      </c>
      <c r="C43" t="s">
        <v>169</v>
      </c>
      <c r="D43">
        <v>3</v>
      </c>
      <c r="E43" t="str">
        <f>IF(tbl_SalAccts[[#This Row],[Value]]=1,"Salary",IF(tbl_SalAccts[[#This Row],[Value]]=2,"Fringe",IF(tbl_SalAccts[[#This Row],[Value]]=3,"Other","")))</f>
        <v>Other</v>
      </c>
    </row>
    <row r="44" spans="2:5">
      <c r="B44">
        <v>161110</v>
      </c>
      <c r="C44" t="s">
        <v>170</v>
      </c>
      <c r="D44">
        <v>3</v>
      </c>
      <c r="E44" t="str">
        <f>IF(tbl_SalAccts[[#This Row],[Value]]=1,"Salary",IF(tbl_SalAccts[[#This Row],[Value]]=2,"Fringe",IF(tbl_SalAccts[[#This Row],[Value]]=3,"Other","")))</f>
        <v>Other</v>
      </c>
    </row>
    <row r="45" spans="2:5">
      <c r="B45">
        <v>161500</v>
      </c>
      <c r="C45" t="s">
        <v>171</v>
      </c>
      <c r="D45">
        <v>3</v>
      </c>
      <c r="E45" t="str">
        <f>IF(tbl_SalAccts[[#This Row],[Value]]=1,"Salary",IF(tbl_SalAccts[[#This Row],[Value]]=2,"Fringe",IF(tbl_SalAccts[[#This Row],[Value]]=3,"Other","")))</f>
        <v>Other</v>
      </c>
    </row>
    <row r="46" spans="2:5">
      <c r="B46">
        <v>162000</v>
      </c>
      <c r="C46" t="s">
        <v>172</v>
      </c>
      <c r="D46">
        <v>3</v>
      </c>
      <c r="E46" t="str">
        <f>IF(tbl_SalAccts[[#This Row],[Value]]=1,"Salary",IF(tbl_SalAccts[[#This Row],[Value]]=2,"Fringe",IF(tbl_SalAccts[[#This Row],[Value]]=3,"Other","")))</f>
        <v>Other</v>
      </c>
    </row>
    <row r="47" spans="2:5">
      <c r="B47">
        <v>163000</v>
      </c>
      <c r="C47" t="s">
        <v>173</v>
      </c>
      <c r="D47">
        <v>3</v>
      </c>
      <c r="E47" t="str">
        <f>IF(tbl_SalAccts[[#This Row],[Value]]=1,"Salary",IF(tbl_SalAccts[[#This Row],[Value]]=2,"Fringe",IF(tbl_SalAccts[[#This Row],[Value]]=3,"Other","")))</f>
        <v>Other</v>
      </c>
    </row>
    <row r="48" spans="2:5">
      <c r="B48">
        <v>167000</v>
      </c>
      <c r="C48" t="s">
        <v>174</v>
      </c>
      <c r="D48">
        <v>3</v>
      </c>
      <c r="E48" t="str">
        <f>IF(tbl_SalAccts[[#This Row],[Value]]=1,"Salary",IF(tbl_SalAccts[[#This Row],[Value]]=2,"Fringe",IF(tbl_SalAccts[[#This Row],[Value]]=3,"Other","")))</f>
        <v>Other</v>
      </c>
    </row>
    <row r="49" spans="2:5">
      <c r="B49">
        <v>168000</v>
      </c>
      <c r="C49" t="s">
        <v>175</v>
      </c>
      <c r="D49">
        <v>3</v>
      </c>
      <c r="E49" t="str">
        <f>IF(tbl_SalAccts[[#This Row],[Value]]=1,"Salary",IF(tbl_SalAccts[[#This Row],[Value]]=2,"Fringe",IF(tbl_SalAccts[[#This Row],[Value]]=3,"Other","")))</f>
        <v>Other</v>
      </c>
    </row>
    <row r="50" spans="2:5">
      <c r="B50">
        <v>168100</v>
      </c>
      <c r="C50" t="s">
        <v>176</v>
      </c>
      <c r="D50">
        <v>3</v>
      </c>
      <c r="E50" t="str">
        <f>IF(tbl_SalAccts[[#This Row],[Value]]=1,"Salary",IF(tbl_SalAccts[[#This Row],[Value]]=2,"Fringe",IF(tbl_SalAccts[[#This Row],[Value]]=3,"Other","")))</f>
        <v>Other</v>
      </c>
    </row>
    <row r="51" spans="2:5">
      <c r="B51">
        <v>168200</v>
      </c>
      <c r="C51" t="s">
        <v>177</v>
      </c>
      <c r="D51">
        <v>3</v>
      </c>
      <c r="E51" t="str">
        <f>IF(tbl_SalAccts[[#This Row],[Value]]=1,"Salary",IF(tbl_SalAccts[[#This Row],[Value]]=2,"Fringe",IF(tbl_SalAccts[[#This Row],[Value]]=3,"Other","")))</f>
        <v>Other</v>
      </c>
    </row>
    <row r="52" spans="2:5">
      <c r="B52">
        <v>168300</v>
      </c>
      <c r="C52" t="s">
        <v>178</v>
      </c>
      <c r="D52">
        <v>3</v>
      </c>
      <c r="E52" t="str">
        <f>IF(tbl_SalAccts[[#This Row],[Value]]=1,"Salary",IF(tbl_SalAccts[[#This Row],[Value]]=2,"Fringe",IF(tbl_SalAccts[[#This Row],[Value]]=3,"Other","")))</f>
        <v>Other</v>
      </c>
    </row>
    <row r="53" spans="2:5">
      <c r="B53">
        <v>168400</v>
      </c>
      <c r="C53" t="s">
        <v>179</v>
      </c>
      <c r="D53">
        <v>3</v>
      </c>
      <c r="E53" t="str">
        <f>IF(tbl_SalAccts[[#This Row],[Value]]=1,"Salary",IF(tbl_SalAccts[[#This Row],[Value]]=2,"Fringe",IF(tbl_SalAccts[[#This Row],[Value]]=3,"Other","")))</f>
        <v>Other</v>
      </c>
    </row>
    <row r="54" spans="2:5">
      <c r="B54">
        <v>169000</v>
      </c>
      <c r="C54" t="s">
        <v>180</v>
      </c>
      <c r="D54">
        <v>3</v>
      </c>
      <c r="E54" t="str">
        <f>IF(tbl_SalAccts[[#This Row],[Value]]=1,"Salary",IF(tbl_SalAccts[[#This Row],[Value]]=2,"Fringe",IF(tbl_SalAccts[[#This Row],[Value]]=3,"Other","")))</f>
        <v>Other</v>
      </c>
    </row>
    <row r="55" spans="2:5">
      <c r="B55">
        <v>171000</v>
      </c>
      <c r="C55" t="s">
        <v>181</v>
      </c>
      <c r="D55">
        <v>3</v>
      </c>
      <c r="E55" t="str">
        <f>IF(tbl_SalAccts[[#This Row],[Value]]=1,"Salary",IF(tbl_SalAccts[[#This Row],[Value]]=2,"Fringe",IF(tbl_SalAccts[[#This Row],[Value]]=3,"Other","")))</f>
        <v>Other</v>
      </c>
    </row>
    <row r="56" spans="2:5">
      <c r="B56">
        <v>172000</v>
      </c>
      <c r="C56" t="s">
        <v>182</v>
      </c>
      <c r="D56">
        <v>3</v>
      </c>
      <c r="E56" t="str">
        <f>IF(tbl_SalAccts[[#This Row],[Value]]=1,"Salary",IF(tbl_SalAccts[[#This Row],[Value]]=2,"Fringe",IF(tbl_SalAccts[[#This Row],[Value]]=3,"Other","")))</f>
        <v>Other</v>
      </c>
    </row>
    <row r="57" spans="2:5">
      <c r="B57">
        <v>191000</v>
      </c>
      <c r="C57" t="s">
        <v>183</v>
      </c>
      <c r="D57">
        <v>3</v>
      </c>
      <c r="E57" t="str">
        <f>IF(tbl_SalAccts[[#This Row],[Value]]=1,"Salary",IF(tbl_SalAccts[[#This Row],[Value]]=2,"Fringe",IF(tbl_SalAccts[[#This Row],[Value]]=3,"Other","")))</f>
        <v>Other</v>
      </c>
    </row>
    <row r="58" spans="2:5">
      <c r="B58">
        <v>192000</v>
      </c>
      <c r="C58" t="s">
        <v>184</v>
      </c>
      <c r="D58">
        <v>3</v>
      </c>
      <c r="E58" t="str">
        <f>IF(tbl_SalAccts[[#This Row],[Value]]=1,"Salary",IF(tbl_SalAccts[[#This Row],[Value]]=2,"Fringe",IF(tbl_SalAccts[[#This Row],[Value]]=3,"Other","")))</f>
        <v>Other</v>
      </c>
    </row>
    <row r="59" spans="2:5">
      <c r="B59">
        <v>199000</v>
      </c>
      <c r="C59" t="s">
        <v>185</v>
      </c>
      <c r="D59">
        <v>3</v>
      </c>
      <c r="E59" t="str">
        <f>IF(tbl_SalAccts[[#This Row],[Value]]=1,"Salary",IF(tbl_SalAccts[[#This Row],[Value]]=2,"Fringe",IF(tbl_SalAccts[[#This Row],[Value]]=3,"Other","")))</f>
        <v>Other</v>
      </c>
    </row>
    <row r="60" spans="2:5">
      <c r="B60">
        <v>200000</v>
      </c>
      <c r="C60" t="s">
        <v>186</v>
      </c>
      <c r="D60">
        <v>3</v>
      </c>
      <c r="E60" t="str">
        <f>IF(tbl_SalAccts[[#This Row],[Value]]=1,"Salary",IF(tbl_SalAccts[[#This Row],[Value]]=2,"Fringe",IF(tbl_SalAccts[[#This Row],[Value]]=3,"Other","")))</f>
        <v>Other</v>
      </c>
    </row>
    <row r="61" spans="2:5">
      <c r="B61">
        <v>200001</v>
      </c>
      <c r="C61" t="s">
        <v>187</v>
      </c>
      <c r="D61">
        <v>3</v>
      </c>
      <c r="E61" t="str">
        <f>IF(tbl_SalAccts[[#This Row],[Value]]=1,"Salary",IF(tbl_SalAccts[[#This Row],[Value]]=2,"Fringe",IF(tbl_SalAccts[[#This Row],[Value]]=3,"Other","")))</f>
        <v>Other</v>
      </c>
    </row>
    <row r="62" spans="2:5">
      <c r="B62">
        <v>221000</v>
      </c>
      <c r="C62" t="s">
        <v>188</v>
      </c>
      <c r="D62">
        <v>3</v>
      </c>
      <c r="E62" t="str">
        <f>IF(tbl_SalAccts[[#This Row],[Value]]=1,"Salary",IF(tbl_SalAccts[[#This Row],[Value]]=2,"Fringe",IF(tbl_SalAccts[[#This Row],[Value]]=3,"Other","")))</f>
        <v>Other</v>
      </c>
    </row>
    <row r="63" spans="2:5">
      <c r="B63">
        <v>222000</v>
      </c>
      <c r="C63" t="s">
        <v>189</v>
      </c>
      <c r="D63">
        <v>3</v>
      </c>
      <c r="E63" t="str">
        <f>IF(tbl_SalAccts[[#This Row],[Value]]=1,"Salary",IF(tbl_SalAccts[[#This Row],[Value]]=2,"Fringe",IF(tbl_SalAccts[[#This Row],[Value]]=3,"Other","")))</f>
        <v>Other</v>
      </c>
    </row>
    <row r="64" spans="2:5">
      <c r="B64">
        <v>223000</v>
      </c>
      <c r="C64" t="s">
        <v>190</v>
      </c>
      <c r="D64">
        <v>3</v>
      </c>
      <c r="E64" t="str">
        <f>IF(tbl_SalAccts[[#This Row],[Value]]=1,"Salary",IF(tbl_SalAccts[[#This Row],[Value]]=2,"Fringe",IF(tbl_SalAccts[[#This Row],[Value]]=3,"Other","")))</f>
        <v>Other</v>
      </c>
    </row>
    <row r="65" spans="2:5">
      <c r="B65">
        <v>223001</v>
      </c>
      <c r="C65" t="s">
        <v>191</v>
      </c>
      <c r="D65">
        <v>3</v>
      </c>
      <c r="E65" t="str">
        <f>IF(tbl_SalAccts[[#This Row],[Value]]=1,"Salary",IF(tbl_SalAccts[[#This Row],[Value]]=2,"Fringe",IF(tbl_SalAccts[[#This Row],[Value]]=3,"Other","")))</f>
        <v>Other</v>
      </c>
    </row>
    <row r="66" spans="2:5">
      <c r="B66">
        <v>225000</v>
      </c>
      <c r="C66" t="s">
        <v>192</v>
      </c>
      <c r="D66">
        <v>3</v>
      </c>
      <c r="E66" t="str">
        <f>IF(tbl_SalAccts[[#This Row],[Value]]=1,"Salary",IF(tbl_SalAccts[[#This Row],[Value]]=2,"Fringe",IF(tbl_SalAccts[[#This Row],[Value]]=3,"Other","")))</f>
        <v>Other</v>
      </c>
    </row>
    <row r="67" spans="2:5">
      <c r="B67">
        <v>226000</v>
      </c>
      <c r="C67" t="s">
        <v>193</v>
      </c>
      <c r="D67">
        <v>3</v>
      </c>
      <c r="E67" t="str">
        <f>IF(tbl_SalAccts[[#This Row],[Value]]=1,"Salary",IF(tbl_SalAccts[[#This Row],[Value]]=2,"Fringe",IF(tbl_SalAccts[[#This Row],[Value]]=3,"Other","")))</f>
        <v>Other</v>
      </c>
    </row>
    <row r="68" spans="2:5">
      <c r="B68">
        <v>227000</v>
      </c>
      <c r="C68" t="s">
        <v>194</v>
      </c>
      <c r="D68">
        <v>3</v>
      </c>
      <c r="E68" t="str">
        <f>IF(tbl_SalAccts[[#This Row],[Value]]=1,"Salary",IF(tbl_SalAccts[[#This Row],[Value]]=2,"Fringe",IF(tbl_SalAccts[[#This Row],[Value]]=3,"Other","")))</f>
        <v>Other</v>
      </c>
    </row>
    <row r="69" spans="2:5">
      <c r="B69">
        <v>228000</v>
      </c>
      <c r="C69" t="s">
        <v>195</v>
      </c>
      <c r="D69">
        <v>3</v>
      </c>
      <c r="E69" t="str">
        <f>IF(tbl_SalAccts[[#This Row],[Value]]=1,"Salary",IF(tbl_SalAccts[[#This Row],[Value]]=2,"Fringe",IF(tbl_SalAccts[[#This Row],[Value]]=3,"Other","")))</f>
        <v>Other</v>
      </c>
    </row>
    <row r="70" spans="2:5">
      <c r="B70">
        <v>228100</v>
      </c>
      <c r="C70" t="s">
        <v>196</v>
      </c>
      <c r="D70">
        <v>3</v>
      </c>
      <c r="E70" t="str">
        <f>IF(tbl_SalAccts[[#This Row],[Value]]=1,"Salary",IF(tbl_SalAccts[[#This Row],[Value]]=2,"Fringe",IF(tbl_SalAccts[[#This Row],[Value]]=3,"Other","")))</f>
        <v>Other</v>
      </c>
    </row>
    <row r="71" spans="2:5">
      <c r="B71">
        <v>228990</v>
      </c>
      <c r="C71" t="s">
        <v>197</v>
      </c>
      <c r="D71">
        <v>3</v>
      </c>
      <c r="E71" t="str">
        <f>IF(tbl_SalAccts[[#This Row],[Value]]=1,"Salary",IF(tbl_SalAccts[[#This Row],[Value]]=2,"Fringe",IF(tbl_SalAccts[[#This Row],[Value]]=3,"Other","")))</f>
        <v>Other</v>
      </c>
    </row>
    <row r="72" spans="2:5">
      <c r="B72">
        <v>246000</v>
      </c>
      <c r="C72" t="s">
        <v>198</v>
      </c>
      <c r="D72">
        <v>3</v>
      </c>
      <c r="E72" t="str">
        <f>IF(tbl_SalAccts[[#This Row],[Value]]=1,"Salary",IF(tbl_SalAccts[[#This Row],[Value]]=2,"Fringe",IF(tbl_SalAccts[[#This Row],[Value]]=3,"Other","")))</f>
        <v>Other</v>
      </c>
    </row>
    <row r="73" spans="2:5">
      <c r="B73">
        <v>251000</v>
      </c>
      <c r="C73" t="s">
        <v>199</v>
      </c>
      <c r="D73">
        <v>3</v>
      </c>
      <c r="E73" t="str">
        <f>IF(tbl_SalAccts[[#This Row],[Value]]=1,"Salary",IF(tbl_SalAccts[[#This Row],[Value]]=2,"Fringe",IF(tbl_SalAccts[[#This Row],[Value]]=3,"Other","")))</f>
        <v>Other</v>
      </c>
    </row>
    <row r="74" spans="2:5">
      <c r="B74">
        <v>252000</v>
      </c>
      <c r="C74" t="s">
        <v>200</v>
      </c>
      <c r="D74">
        <v>3</v>
      </c>
      <c r="E74" t="str">
        <f>IF(tbl_SalAccts[[#This Row],[Value]]=1,"Salary",IF(tbl_SalAccts[[#This Row],[Value]]=2,"Fringe",IF(tbl_SalAccts[[#This Row],[Value]]=3,"Other","")))</f>
        <v>Other</v>
      </c>
    </row>
    <row r="75" spans="2:5">
      <c r="B75">
        <v>254000</v>
      </c>
      <c r="C75" t="s">
        <v>201</v>
      </c>
      <c r="D75">
        <v>3</v>
      </c>
      <c r="E75" t="str">
        <f>IF(tbl_SalAccts[[#This Row],[Value]]=1,"Salary",IF(tbl_SalAccts[[#This Row],[Value]]=2,"Fringe",IF(tbl_SalAccts[[#This Row],[Value]]=3,"Other","")))</f>
        <v>Other</v>
      </c>
    </row>
    <row r="76" spans="2:5">
      <c r="B76">
        <v>254001</v>
      </c>
      <c r="C76" t="s">
        <v>202</v>
      </c>
      <c r="D76">
        <v>3</v>
      </c>
      <c r="E76" t="str">
        <f>IF(tbl_SalAccts[[#This Row],[Value]]=1,"Salary",IF(tbl_SalAccts[[#This Row],[Value]]=2,"Fringe",IF(tbl_SalAccts[[#This Row],[Value]]=3,"Other","")))</f>
        <v>Other</v>
      </c>
    </row>
    <row r="77" spans="2:5">
      <c r="B77">
        <v>254002</v>
      </c>
      <c r="C77" t="s">
        <v>203</v>
      </c>
      <c r="D77">
        <v>3</v>
      </c>
      <c r="E77" t="str">
        <f>IF(tbl_SalAccts[[#This Row],[Value]]=1,"Salary",IF(tbl_SalAccts[[#This Row],[Value]]=2,"Fringe",IF(tbl_SalAccts[[#This Row],[Value]]=3,"Other","")))</f>
        <v>Other</v>
      </c>
    </row>
    <row r="78" spans="2:5">
      <c r="B78">
        <v>254003</v>
      </c>
      <c r="C78" t="s">
        <v>204</v>
      </c>
      <c r="D78">
        <v>3</v>
      </c>
      <c r="E78" t="str">
        <f>IF(tbl_SalAccts[[#This Row],[Value]]=1,"Salary",IF(tbl_SalAccts[[#This Row],[Value]]=2,"Fringe",IF(tbl_SalAccts[[#This Row],[Value]]=3,"Other","")))</f>
        <v>Other</v>
      </c>
    </row>
    <row r="79" spans="2:5">
      <c r="B79">
        <v>254004</v>
      </c>
      <c r="C79" t="s">
        <v>205</v>
      </c>
      <c r="D79">
        <v>3</v>
      </c>
      <c r="E79" t="str">
        <f>IF(tbl_SalAccts[[#This Row],[Value]]=1,"Salary",IF(tbl_SalAccts[[#This Row],[Value]]=2,"Fringe",IF(tbl_SalAccts[[#This Row],[Value]]=3,"Other","")))</f>
        <v>Other</v>
      </c>
    </row>
    <row r="80" spans="2:5">
      <c r="B80">
        <v>254005</v>
      </c>
      <c r="C80" t="s">
        <v>206</v>
      </c>
      <c r="D80">
        <v>3</v>
      </c>
      <c r="E80" t="str">
        <f>IF(tbl_SalAccts[[#This Row],[Value]]=1,"Salary",IF(tbl_SalAccts[[#This Row],[Value]]=2,"Fringe",IF(tbl_SalAccts[[#This Row],[Value]]=3,"Other","")))</f>
        <v>Other</v>
      </c>
    </row>
    <row r="81" spans="2:5">
      <c r="B81">
        <v>254006</v>
      </c>
      <c r="C81" t="s">
        <v>207</v>
      </c>
      <c r="D81">
        <v>3</v>
      </c>
      <c r="E81" t="str">
        <f>IF(tbl_SalAccts[[#This Row],[Value]]=1,"Salary",IF(tbl_SalAccts[[#This Row],[Value]]=2,"Fringe",IF(tbl_SalAccts[[#This Row],[Value]]=3,"Other","")))</f>
        <v>Other</v>
      </c>
    </row>
    <row r="82" spans="2:5">
      <c r="B82" s="5">
        <v>254007</v>
      </c>
      <c r="C82" s="5" t="s">
        <v>208</v>
      </c>
      <c r="D82">
        <v>3</v>
      </c>
      <c r="E82" t="str">
        <f>IF(tbl_SalAccts[[#This Row],[Value]]=1,"Salary",IF(tbl_SalAccts[[#This Row],[Value]]=2,"Fringe",IF(tbl_SalAccts[[#This Row],[Value]]=3,"Other","")))</f>
        <v>Other</v>
      </c>
    </row>
    <row r="83" spans="2:5">
      <c r="B83" s="3">
        <v>254008</v>
      </c>
      <c r="C83" s="3" t="s">
        <v>209</v>
      </c>
      <c r="D83">
        <v>3</v>
      </c>
      <c r="E83" t="str">
        <f>IF(tbl_SalAccts[[#This Row],[Value]]=1,"Salary",IF(tbl_SalAccts[[#This Row],[Value]]=2,"Fringe",IF(tbl_SalAccts[[#This Row],[Value]]=3,"Other","")))</f>
        <v>Other</v>
      </c>
    </row>
    <row r="84" spans="2:5">
      <c r="B84">
        <v>254009</v>
      </c>
      <c r="C84" t="s">
        <v>210</v>
      </c>
      <c r="D84">
        <v>3</v>
      </c>
      <c r="E84" t="str">
        <f>IF(tbl_SalAccts[[#This Row],[Value]]=1,"Salary",IF(tbl_SalAccts[[#This Row],[Value]]=2,"Fringe",IF(tbl_SalAccts[[#This Row],[Value]]=3,"Other","")))</f>
        <v>Other</v>
      </c>
    </row>
    <row r="85" spans="2:5">
      <c r="B85">
        <v>254010</v>
      </c>
      <c r="C85" t="s">
        <v>211</v>
      </c>
      <c r="D85">
        <v>3</v>
      </c>
      <c r="E85" t="str">
        <f>IF(tbl_SalAccts[[#This Row],[Value]]=1,"Salary",IF(tbl_SalAccts[[#This Row],[Value]]=2,"Fringe",IF(tbl_SalAccts[[#This Row],[Value]]=3,"Other","")))</f>
        <v>Other</v>
      </c>
    </row>
    <row r="86" spans="2:5">
      <c r="B86">
        <v>254100</v>
      </c>
      <c r="C86" t="s">
        <v>212</v>
      </c>
      <c r="D86">
        <v>3</v>
      </c>
      <c r="E86" t="str">
        <f>IF(tbl_SalAccts[[#This Row],[Value]]=1,"Salary",IF(tbl_SalAccts[[#This Row],[Value]]=2,"Fringe",IF(tbl_SalAccts[[#This Row],[Value]]=3,"Other","")))</f>
        <v>Other</v>
      </c>
    </row>
    <row r="87" spans="2:5">
      <c r="B87">
        <v>254101</v>
      </c>
      <c r="C87" t="s">
        <v>213</v>
      </c>
      <c r="D87">
        <v>3</v>
      </c>
      <c r="E87" t="str">
        <f>IF(tbl_SalAccts[[#This Row],[Value]]=1,"Salary",IF(tbl_SalAccts[[#This Row],[Value]]=2,"Fringe",IF(tbl_SalAccts[[#This Row],[Value]]=3,"Other","")))</f>
        <v>Other</v>
      </c>
    </row>
    <row r="88" spans="2:5">
      <c r="B88">
        <v>254102</v>
      </c>
      <c r="C88" t="s">
        <v>214</v>
      </c>
      <c r="D88">
        <v>3</v>
      </c>
      <c r="E88" t="str">
        <f>IF(tbl_SalAccts[[#This Row],[Value]]=1,"Salary",IF(tbl_SalAccts[[#This Row],[Value]]=2,"Fringe",IF(tbl_SalAccts[[#This Row],[Value]]=3,"Other","")))</f>
        <v>Other</v>
      </c>
    </row>
    <row r="89" spans="2:5">
      <c r="B89">
        <v>254103</v>
      </c>
      <c r="C89" t="s">
        <v>215</v>
      </c>
      <c r="D89">
        <v>3</v>
      </c>
      <c r="E89" t="str">
        <f>IF(tbl_SalAccts[[#This Row],[Value]]=1,"Salary",IF(tbl_SalAccts[[#This Row],[Value]]=2,"Fringe",IF(tbl_SalAccts[[#This Row],[Value]]=3,"Other","")))</f>
        <v>Other</v>
      </c>
    </row>
    <row r="90" spans="2:5">
      <c r="B90">
        <v>254104</v>
      </c>
      <c r="C90" t="s">
        <v>216</v>
      </c>
      <c r="D90">
        <v>3</v>
      </c>
      <c r="E90" t="str">
        <f>IF(tbl_SalAccts[[#This Row],[Value]]=1,"Salary",IF(tbl_SalAccts[[#This Row],[Value]]=2,"Fringe",IF(tbl_SalAccts[[#This Row],[Value]]=3,"Other","")))</f>
        <v>Other</v>
      </c>
    </row>
    <row r="91" spans="2:5">
      <c r="B91">
        <v>254105</v>
      </c>
      <c r="C91" t="s">
        <v>217</v>
      </c>
      <c r="D91">
        <v>3</v>
      </c>
      <c r="E91" t="str">
        <f>IF(tbl_SalAccts[[#This Row],[Value]]=1,"Salary",IF(tbl_SalAccts[[#This Row],[Value]]=2,"Fringe",IF(tbl_SalAccts[[#This Row],[Value]]=3,"Other","")))</f>
        <v>Other</v>
      </c>
    </row>
    <row r="92" spans="2:5">
      <c r="B92">
        <v>254106</v>
      </c>
      <c r="C92" t="s">
        <v>218</v>
      </c>
      <c r="D92">
        <v>3</v>
      </c>
      <c r="E92" t="str">
        <f>IF(tbl_SalAccts[[#This Row],[Value]]=1,"Salary",IF(tbl_SalAccts[[#This Row],[Value]]=2,"Fringe",IF(tbl_SalAccts[[#This Row],[Value]]=3,"Other","")))</f>
        <v>Other</v>
      </c>
    </row>
    <row r="93" spans="2:5">
      <c r="B93">
        <v>254107</v>
      </c>
      <c r="C93" t="s">
        <v>219</v>
      </c>
      <c r="D93">
        <v>3</v>
      </c>
      <c r="E93" t="str">
        <f>IF(tbl_SalAccts[[#This Row],[Value]]=1,"Salary",IF(tbl_SalAccts[[#This Row],[Value]]=2,"Fringe",IF(tbl_SalAccts[[#This Row],[Value]]=3,"Other","")))</f>
        <v>Other</v>
      </c>
    </row>
    <row r="94" spans="2:5">
      <c r="B94">
        <v>254108</v>
      </c>
      <c r="C94" t="s">
        <v>220</v>
      </c>
      <c r="D94">
        <v>3</v>
      </c>
      <c r="E94" t="str">
        <f>IF(tbl_SalAccts[[#This Row],[Value]]=1,"Salary",IF(tbl_SalAccts[[#This Row],[Value]]=2,"Fringe",IF(tbl_SalAccts[[#This Row],[Value]]=3,"Other","")))</f>
        <v>Other</v>
      </c>
    </row>
    <row r="95" spans="2:5">
      <c r="B95">
        <v>254109</v>
      </c>
      <c r="C95" t="s">
        <v>221</v>
      </c>
      <c r="D95">
        <v>3</v>
      </c>
      <c r="E95" t="str">
        <f>IF(tbl_SalAccts[[#This Row],[Value]]=1,"Salary",IF(tbl_SalAccts[[#This Row],[Value]]=2,"Fringe",IF(tbl_SalAccts[[#This Row],[Value]]=3,"Other","")))</f>
        <v>Other</v>
      </c>
    </row>
    <row r="96" spans="2:5">
      <c r="B96">
        <v>254110</v>
      </c>
      <c r="C96" t="s">
        <v>222</v>
      </c>
      <c r="D96">
        <v>3</v>
      </c>
      <c r="E96" t="str">
        <f>IF(tbl_SalAccts[[#This Row],[Value]]=1,"Salary",IF(tbl_SalAccts[[#This Row],[Value]]=2,"Fringe",IF(tbl_SalAccts[[#This Row],[Value]]=3,"Other","")))</f>
        <v>Other</v>
      </c>
    </row>
    <row r="97" spans="2:5">
      <c r="B97">
        <v>254111</v>
      </c>
      <c r="C97" t="s">
        <v>223</v>
      </c>
      <c r="D97">
        <v>3</v>
      </c>
      <c r="E97" t="str">
        <f>IF(tbl_SalAccts[[#This Row],[Value]]=1,"Salary",IF(tbl_SalAccts[[#This Row],[Value]]=2,"Fringe",IF(tbl_SalAccts[[#This Row],[Value]]=3,"Other","")))</f>
        <v>Other</v>
      </c>
    </row>
    <row r="98" spans="2:5">
      <c r="B98">
        <v>254112</v>
      </c>
      <c r="C98" t="s">
        <v>224</v>
      </c>
      <c r="D98">
        <v>3</v>
      </c>
      <c r="E98" t="str">
        <f>IF(tbl_SalAccts[[#This Row],[Value]]=1,"Salary",IF(tbl_SalAccts[[#This Row],[Value]]=2,"Fringe",IF(tbl_SalAccts[[#This Row],[Value]]=3,"Other","")))</f>
        <v>Other</v>
      </c>
    </row>
    <row r="99" spans="2:5">
      <c r="B99">
        <v>254113</v>
      </c>
      <c r="C99" t="s">
        <v>225</v>
      </c>
      <c r="D99">
        <v>3</v>
      </c>
      <c r="E99" t="str">
        <f>IF(tbl_SalAccts[[#This Row],[Value]]=1,"Salary",IF(tbl_SalAccts[[#This Row],[Value]]=2,"Fringe",IF(tbl_SalAccts[[#This Row],[Value]]=3,"Other","")))</f>
        <v>Other</v>
      </c>
    </row>
    <row r="100" spans="2:5">
      <c r="B100">
        <v>254114</v>
      </c>
      <c r="C100" t="s">
        <v>226</v>
      </c>
      <c r="D100">
        <v>3</v>
      </c>
      <c r="E100" t="str">
        <f>IF(tbl_SalAccts[[#This Row],[Value]]=1,"Salary",IF(tbl_SalAccts[[#This Row],[Value]]=2,"Fringe",IF(tbl_SalAccts[[#This Row],[Value]]=3,"Other","")))</f>
        <v>Other</v>
      </c>
    </row>
    <row r="101" spans="2:5">
      <c r="B101">
        <v>254115</v>
      </c>
      <c r="C101" t="s">
        <v>227</v>
      </c>
      <c r="D101">
        <v>3</v>
      </c>
      <c r="E101" t="str">
        <f>IF(tbl_SalAccts[[#This Row],[Value]]=1,"Salary",IF(tbl_SalAccts[[#This Row],[Value]]=2,"Fringe",IF(tbl_SalAccts[[#This Row],[Value]]=3,"Other","")))</f>
        <v>Other</v>
      </c>
    </row>
    <row r="102" spans="2:5">
      <c r="B102">
        <v>254116</v>
      </c>
      <c r="C102" t="s">
        <v>228</v>
      </c>
      <c r="D102">
        <v>3</v>
      </c>
      <c r="E102" t="str">
        <f>IF(tbl_SalAccts[[#This Row],[Value]]=1,"Salary",IF(tbl_SalAccts[[#This Row],[Value]]=2,"Fringe",IF(tbl_SalAccts[[#This Row],[Value]]=3,"Other","")))</f>
        <v>Other</v>
      </c>
    </row>
    <row r="103" spans="2:5">
      <c r="B103">
        <v>254117</v>
      </c>
      <c r="C103" t="s">
        <v>229</v>
      </c>
      <c r="D103">
        <v>3</v>
      </c>
      <c r="E103" t="str">
        <f>IF(tbl_SalAccts[[#This Row],[Value]]=1,"Salary",IF(tbl_SalAccts[[#This Row],[Value]]=2,"Fringe",IF(tbl_SalAccts[[#This Row],[Value]]=3,"Other","")))</f>
        <v>Other</v>
      </c>
    </row>
    <row r="104" spans="2:5">
      <c r="B104">
        <v>254118</v>
      </c>
      <c r="C104" t="s">
        <v>230</v>
      </c>
      <c r="D104">
        <v>3</v>
      </c>
      <c r="E104" t="str">
        <f>IF(tbl_SalAccts[[#This Row],[Value]]=1,"Salary",IF(tbl_SalAccts[[#This Row],[Value]]=2,"Fringe",IF(tbl_SalAccts[[#This Row],[Value]]=3,"Other","")))</f>
        <v>Other</v>
      </c>
    </row>
    <row r="105" spans="2:5">
      <c r="B105">
        <v>254119</v>
      </c>
      <c r="C105" t="s">
        <v>231</v>
      </c>
      <c r="D105">
        <v>3</v>
      </c>
      <c r="E105" t="str">
        <f>IF(tbl_SalAccts[[#This Row],[Value]]=1,"Salary",IF(tbl_SalAccts[[#This Row],[Value]]=2,"Fringe",IF(tbl_SalAccts[[#This Row],[Value]]=3,"Other","")))</f>
        <v>Other</v>
      </c>
    </row>
    <row r="106" spans="2:5">
      <c r="B106">
        <v>254120</v>
      </c>
      <c r="C106" t="s">
        <v>232</v>
      </c>
      <c r="D106">
        <v>3</v>
      </c>
      <c r="E106" t="str">
        <f>IF(tbl_SalAccts[[#This Row],[Value]]=1,"Salary",IF(tbl_SalAccts[[#This Row],[Value]]=2,"Fringe",IF(tbl_SalAccts[[#This Row],[Value]]=3,"Other","")))</f>
        <v>Other</v>
      </c>
    </row>
    <row r="107" spans="2:5">
      <c r="B107">
        <v>254121</v>
      </c>
      <c r="C107" t="s">
        <v>233</v>
      </c>
      <c r="D107">
        <v>3</v>
      </c>
      <c r="E107" t="str">
        <f>IF(tbl_SalAccts[[#This Row],[Value]]=1,"Salary",IF(tbl_SalAccts[[#This Row],[Value]]=2,"Fringe",IF(tbl_SalAccts[[#This Row],[Value]]=3,"Other","")))</f>
        <v>Other</v>
      </c>
    </row>
    <row r="108" spans="2:5">
      <c r="B108">
        <v>254122</v>
      </c>
      <c r="C108" t="s">
        <v>234</v>
      </c>
      <c r="D108">
        <v>3</v>
      </c>
      <c r="E108" t="str">
        <f>IF(tbl_SalAccts[[#This Row],[Value]]=1,"Salary",IF(tbl_SalAccts[[#This Row],[Value]]=2,"Fringe",IF(tbl_SalAccts[[#This Row],[Value]]=3,"Other","")))</f>
        <v>Other</v>
      </c>
    </row>
    <row r="109" spans="2:5">
      <c r="B109">
        <v>254123</v>
      </c>
      <c r="C109" t="s">
        <v>235</v>
      </c>
      <c r="D109">
        <v>3</v>
      </c>
      <c r="E109" t="str">
        <f>IF(tbl_SalAccts[[#This Row],[Value]]=1,"Salary",IF(tbl_SalAccts[[#This Row],[Value]]=2,"Fringe",IF(tbl_SalAccts[[#This Row],[Value]]=3,"Other","")))</f>
        <v>Other</v>
      </c>
    </row>
    <row r="110" spans="2:5">
      <c r="B110">
        <v>254124</v>
      </c>
      <c r="C110" t="s">
        <v>236</v>
      </c>
      <c r="D110">
        <v>3</v>
      </c>
      <c r="E110" t="str">
        <f>IF(tbl_SalAccts[[#This Row],[Value]]=1,"Salary",IF(tbl_SalAccts[[#This Row],[Value]]=2,"Fringe",IF(tbl_SalAccts[[#This Row],[Value]]=3,"Other","")))</f>
        <v>Other</v>
      </c>
    </row>
    <row r="111" spans="2:5">
      <c r="B111">
        <v>254125</v>
      </c>
      <c r="C111" t="s">
        <v>237</v>
      </c>
      <c r="D111">
        <v>3</v>
      </c>
      <c r="E111" t="str">
        <f>IF(tbl_SalAccts[[#This Row],[Value]]=1,"Salary",IF(tbl_SalAccts[[#This Row],[Value]]=2,"Fringe",IF(tbl_SalAccts[[#This Row],[Value]]=3,"Other","")))</f>
        <v>Other</v>
      </c>
    </row>
    <row r="112" spans="2:5">
      <c r="B112">
        <v>254126</v>
      </c>
      <c r="C112" t="s">
        <v>238</v>
      </c>
      <c r="D112">
        <v>3</v>
      </c>
      <c r="E112" t="str">
        <f>IF(tbl_SalAccts[[#This Row],[Value]]=1,"Salary",IF(tbl_SalAccts[[#This Row],[Value]]=2,"Fringe",IF(tbl_SalAccts[[#This Row],[Value]]=3,"Other","")))</f>
        <v>Other</v>
      </c>
    </row>
    <row r="113" spans="2:5">
      <c r="B113">
        <v>254127</v>
      </c>
      <c r="C113" t="s">
        <v>239</v>
      </c>
      <c r="D113">
        <v>3</v>
      </c>
      <c r="E113" t="str">
        <f>IF(tbl_SalAccts[[#This Row],[Value]]=1,"Salary",IF(tbl_SalAccts[[#This Row],[Value]]=2,"Fringe",IF(tbl_SalAccts[[#This Row],[Value]]=3,"Other","")))</f>
        <v>Other</v>
      </c>
    </row>
    <row r="114" spans="2:5">
      <c r="B114">
        <v>254128</v>
      </c>
      <c r="C114" t="s">
        <v>240</v>
      </c>
      <c r="D114">
        <v>3</v>
      </c>
      <c r="E114" t="str">
        <f>IF(tbl_SalAccts[[#This Row],[Value]]=1,"Salary",IF(tbl_SalAccts[[#This Row],[Value]]=2,"Fringe",IF(tbl_SalAccts[[#This Row],[Value]]=3,"Other","")))</f>
        <v>Other</v>
      </c>
    </row>
    <row r="115" spans="2:5">
      <c r="B115">
        <v>254129</v>
      </c>
      <c r="C115" t="s">
        <v>241</v>
      </c>
      <c r="D115">
        <v>3</v>
      </c>
      <c r="E115" t="str">
        <f>IF(tbl_SalAccts[[#This Row],[Value]]=1,"Salary",IF(tbl_SalAccts[[#This Row],[Value]]=2,"Fringe",IF(tbl_SalAccts[[#This Row],[Value]]=3,"Other","")))</f>
        <v>Other</v>
      </c>
    </row>
    <row r="116" spans="2:5">
      <c r="B116">
        <v>254130</v>
      </c>
      <c r="C116" t="s">
        <v>242</v>
      </c>
      <c r="D116">
        <v>3</v>
      </c>
      <c r="E116" t="str">
        <f>IF(tbl_SalAccts[[#This Row],[Value]]=1,"Salary",IF(tbl_SalAccts[[#This Row],[Value]]=2,"Fringe",IF(tbl_SalAccts[[#This Row],[Value]]=3,"Other","")))</f>
        <v>Other</v>
      </c>
    </row>
    <row r="117" spans="2:5">
      <c r="B117">
        <v>254131</v>
      </c>
      <c r="C117" t="s">
        <v>243</v>
      </c>
      <c r="D117">
        <v>3</v>
      </c>
      <c r="E117" t="str">
        <f>IF(tbl_SalAccts[[#This Row],[Value]]=1,"Salary",IF(tbl_SalAccts[[#This Row],[Value]]=2,"Fringe",IF(tbl_SalAccts[[#This Row],[Value]]=3,"Other","")))</f>
        <v>Other</v>
      </c>
    </row>
    <row r="118" spans="2:5">
      <c r="B118">
        <v>254132</v>
      </c>
      <c r="C118" t="s">
        <v>244</v>
      </c>
      <c r="D118">
        <v>3</v>
      </c>
      <c r="E118" t="str">
        <f>IF(tbl_SalAccts[[#This Row],[Value]]=1,"Salary",IF(tbl_SalAccts[[#This Row],[Value]]=2,"Fringe",IF(tbl_SalAccts[[#This Row],[Value]]=3,"Other","")))</f>
        <v>Other</v>
      </c>
    </row>
    <row r="119" spans="2:5">
      <c r="B119">
        <v>254133</v>
      </c>
      <c r="C119" t="s">
        <v>245</v>
      </c>
      <c r="D119">
        <v>3</v>
      </c>
      <c r="E119" t="str">
        <f>IF(tbl_SalAccts[[#This Row],[Value]]=1,"Salary",IF(tbl_SalAccts[[#This Row],[Value]]=2,"Fringe",IF(tbl_SalAccts[[#This Row],[Value]]=3,"Other","")))</f>
        <v>Other</v>
      </c>
    </row>
    <row r="120" spans="2:5">
      <c r="B120">
        <v>254134</v>
      </c>
      <c r="C120" t="s">
        <v>246</v>
      </c>
      <c r="D120">
        <v>3</v>
      </c>
      <c r="E120" t="str">
        <f>IF(tbl_SalAccts[[#This Row],[Value]]=1,"Salary",IF(tbl_SalAccts[[#This Row],[Value]]=2,"Fringe",IF(tbl_SalAccts[[#This Row],[Value]]=3,"Other","")))</f>
        <v>Other</v>
      </c>
    </row>
    <row r="121" spans="2:5">
      <c r="B121">
        <v>254135</v>
      </c>
      <c r="C121" t="s">
        <v>247</v>
      </c>
      <c r="D121">
        <v>3</v>
      </c>
      <c r="E121" t="str">
        <f>IF(tbl_SalAccts[[#This Row],[Value]]=1,"Salary",IF(tbl_SalAccts[[#This Row],[Value]]=2,"Fringe",IF(tbl_SalAccts[[#This Row],[Value]]=3,"Other","")))</f>
        <v>Other</v>
      </c>
    </row>
    <row r="122" spans="2:5">
      <c r="B122">
        <v>254136</v>
      </c>
      <c r="C122" t="s">
        <v>248</v>
      </c>
      <c r="D122">
        <v>3</v>
      </c>
      <c r="E122" t="str">
        <f>IF(tbl_SalAccts[[#This Row],[Value]]=1,"Salary",IF(tbl_SalAccts[[#This Row],[Value]]=2,"Fringe",IF(tbl_SalAccts[[#This Row],[Value]]=3,"Other","")))</f>
        <v>Other</v>
      </c>
    </row>
    <row r="123" spans="2:5">
      <c r="B123">
        <v>254137</v>
      </c>
      <c r="C123" t="s">
        <v>249</v>
      </c>
      <c r="D123">
        <v>3</v>
      </c>
      <c r="E123" t="str">
        <f>IF(tbl_SalAccts[[#This Row],[Value]]=1,"Salary",IF(tbl_SalAccts[[#This Row],[Value]]=2,"Fringe",IF(tbl_SalAccts[[#This Row],[Value]]=3,"Other","")))</f>
        <v>Other</v>
      </c>
    </row>
    <row r="124" spans="2:5">
      <c r="B124">
        <v>254140</v>
      </c>
      <c r="C124" t="s">
        <v>250</v>
      </c>
      <c r="D124">
        <v>3</v>
      </c>
      <c r="E124" t="str">
        <f>IF(tbl_SalAccts[[#This Row],[Value]]=1,"Salary",IF(tbl_SalAccts[[#This Row],[Value]]=2,"Fringe",IF(tbl_SalAccts[[#This Row],[Value]]=3,"Other","")))</f>
        <v>Other</v>
      </c>
    </row>
    <row r="125" spans="2:5">
      <c r="B125">
        <v>254141</v>
      </c>
      <c r="C125" t="s">
        <v>251</v>
      </c>
      <c r="D125">
        <v>3</v>
      </c>
      <c r="E125" t="str">
        <f>IF(tbl_SalAccts[[#This Row],[Value]]=1,"Salary",IF(tbl_SalAccts[[#This Row],[Value]]=2,"Fringe",IF(tbl_SalAccts[[#This Row],[Value]]=3,"Other","")))</f>
        <v>Other</v>
      </c>
    </row>
    <row r="126" spans="2:5">
      <c r="B126">
        <v>254142</v>
      </c>
      <c r="C126" t="s">
        <v>252</v>
      </c>
      <c r="D126">
        <v>3</v>
      </c>
      <c r="E126" t="str">
        <f>IF(tbl_SalAccts[[#This Row],[Value]]=1,"Salary",IF(tbl_SalAccts[[#This Row],[Value]]=2,"Fringe",IF(tbl_SalAccts[[#This Row],[Value]]=3,"Other","")))</f>
        <v>Other</v>
      </c>
    </row>
    <row r="127" spans="2:5">
      <c r="B127">
        <v>254143</v>
      </c>
      <c r="C127" t="s">
        <v>253</v>
      </c>
      <c r="D127">
        <v>3</v>
      </c>
      <c r="E127" t="str">
        <f>IF(tbl_SalAccts[[#This Row],[Value]]=1,"Salary",IF(tbl_SalAccts[[#This Row],[Value]]=2,"Fringe",IF(tbl_SalAccts[[#This Row],[Value]]=3,"Other","")))</f>
        <v>Other</v>
      </c>
    </row>
    <row r="128" spans="2:5">
      <c r="B128">
        <v>254144</v>
      </c>
      <c r="C128" t="s">
        <v>254</v>
      </c>
      <c r="D128">
        <v>3</v>
      </c>
      <c r="E128" t="str">
        <f>IF(tbl_SalAccts[[#This Row],[Value]]=1,"Salary",IF(tbl_SalAccts[[#This Row],[Value]]=2,"Fringe",IF(tbl_SalAccts[[#This Row],[Value]]=3,"Other","")))</f>
        <v>Other</v>
      </c>
    </row>
    <row r="129" spans="2:5">
      <c r="B129">
        <v>254145</v>
      </c>
      <c r="C129" t="s">
        <v>255</v>
      </c>
      <c r="D129">
        <v>3</v>
      </c>
      <c r="E129" t="str">
        <f>IF(tbl_SalAccts[[#This Row],[Value]]=1,"Salary",IF(tbl_SalAccts[[#This Row],[Value]]=2,"Fringe",IF(tbl_SalAccts[[#This Row],[Value]]=3,"Other","")))</f>
        <v>Other</v>
      </c>
    </row>
    <row r="130" spans="2:5">
      <c r="B130">
        <v>254146</v>
      </c>
      <c r="C130" t="s">
        <v>256</v>
      </c>
      <c r="D130">
        <v>3</v>
      </c>
      <c r="E130" t="str">
        <f>IF(tbl_SalAccts[[#This Row],[Value]]=1,"Salary",IF(tbl_SalAccts[[#This Row],[Value]]=2,"Fringe",IF(tbl_SalAccts[[#This Row],[Value]]=3,"Other","")))</f>
        <v>Other</v>
      </c>
    </row>
    <row r="131" spans="2:5">
      <c r="B131">
        <v>254147</v>
      </c>
      <c r="C131" t="s">
        <v>257</v>
      </c>
      <c r="D131">
        <v>3</v>
      </c>
      <c r="E131" t="str">
        <f>IF(tbl_SalAccts[[#This Row],[Value]]=1,"Salary",IF(tbl_SalAccts[[#This Row],[Value]]=2,"Fringe",IF(tbl_SalAccts[[#This Row],[Value]]=3,"Other","")))</f>
        <v>Other</v>
      </c>
    </row>
    <row r="132" spans="2:5">
      <c r="B132">
        <v>255000</v>
      </c>
      <c r="C132" t="s">
        <v>258</v>
      </c>
      <c r="D132">
        <v>3</v>
      </c>
      <c r="E132" t="str">
        <f>IF(tbl_SalAccts[[#This Row],[Value]]=1,"Salary",IF(tbl_SalAccts[[#This Row],[Value]]=2,"Fringe",IF(tbl_SalAccts[[#This Row],[Value]]=3,"Other","")))</f>
        <v>Other</v>
      </c>
    </row>
    <row r="133" spans="2:5">
      <c r="B133">
        <v>258000</v>
      </c>
      <c r="C133" t="s">
        <v>259</v>
      </c>
      <c r="D133">
        <v>3</v>
      </c>
      <c r="E133" t="str">
        <f>IF(tbl_SalAccts[[#This Row],[Value]]=1,"Salary",IF(tbl_SalAccts[[#This Row],[Value]]=2,"Fringe",IF(tbl_SalAccts[[#This Row],[Value]]=3,"Other","")))</f>
        <v>Other</v>
      </c>
    </row>
    <row r="134" spans="2:5">
      <c r="B134">
        <v>259000</v>
      </c>
      <c r="C134" t="s">
        <v>260</v>
      </c>
      <c r="D134">
        <v>3</v>
      </c>
      <c r="E134" t="str">
        <f>IF(tbl_SalAccts[[#This Row],[Value]]=1,"Salary",IF(tbl_SalAccts[[#This Row],[Value]]=2,"Fringe",IF(tbl_SalAccts[[#This Row],[Value]]=3,"Other","")))</f>
        <v>Other</v>
      </c>
    </row>
    <row r="135" spans="2:5">
      <c r="B135">
        <v>259010</v>
      </c>
      <c r="C135" t="s">
        <v>261</v>
      </c>
      <c r="D135">
        <v>3</v>
      </c>
      <c r="E135" t="str">
        <f>IF(tbl_SalAccts[[#This Row],[Value]]=1,"Salary",IF(tbl_SalAccts[[#This Row],[Value]]=2,"Fringe",IF(tbl_SalAccts[[#This Row],[Value]]=3,"Other","")))</f>
        <v>Other</v>
      </c>
    </row>
    <row r="136" spans="2:5">
      <c r="B136">
        <v>264000</v>
      </c>
      <c r="C136" t="s">
        <v>262</v>
      </c>
      <c r="D136">
        <v>3</v>
      </c>
      <c r="E136" t="str">
        <f>IF(tbl_SalAccts[[#This Row],[Value]]=1,"Salary",IF(tbl_SalAccts[[#This Row],[Value]]=2,"Fringe",IF(tbl_SalAccts[[#This Row],[Value]]=3,"Other","")))</f>
        <v>Other</v>
      </c>
    </row>
    <row r="137" spans="2:5">
      <c r="B137">
        <v>265000</v>
      </c>
      <c r="C137" t="s">
        <v>263</v>
      </c>
      <c r="D137">
        <v>3</v>
      </c>
      <c r="E137" t="str">
        <f>IF(tbl_SalAccts[[#This Row],[Value]]=1,"Salary",IF(tbl_SalAccts[[#This Row],[Value]]=2,"Fringe",IF(tbl_SalAccts[[#This Row],[Value]]=3,"Other","")))</f>
        <v>Other</v>
      </c>
    </row>
    <row r="138" spans="2:5">
      <c r="B138">
        <v>266000</v>
      </c>
      <c r="C138" t="s">
        <v>264</v>
      </c>
      <c r="D138">
        <v>3</v>
      </c>
      <c r="E138" t="str">
        <f>IF(tbl_SalAccts[[#This Row],[Value]]=1,"Salary",IF(tbl_SalAccts[[#This Row],[Value]]=2,"Fringe",IF(tbl_SalAccts[[#This Row],[Value]]=3,"Other","")))</f>
        <v>Other</v>
      </c>
    </row>
    <row r="139" spans="2:5">
      <c r="B139">
        <v>267000</v>
      </c>
      <c r="C139" t="s">
        <v>265</v>
      </c>
      <c r="D139">
        <v>3</v>
      </c>
      <c r="E139" t="str">
        <f>IF(tbl_SalAccts[[#This Row],[Value]]=1,"Salary",IF(tbl_SalAccts[[#This Row],[Value]]=2,"Fringe",IF(tbl_SalAccts[[#This Row],[Value]]=3,"Other","")))</f>
        <v>Other</v>
      </c>
    </row>
    <row r="140" spans="2:5">
      <c r="B140">
        <v>268000</v>
      </c>
      <c r="C140" t="s">
        <v>266</v>
      </c>
      <c r="D140">
        <v>3</v>
      </c>
      <c r="E140" t="str">
        <f>IF(tbl_SalAccts[[#This Row],[Value]]=1,"Salary",IF(tbl_SalAccts[[#This Row],[Value]]=2,"Fringe",IF(tbl_SalAccts[[#This Row],[Value]]=3,"Other","")))</f>
        <v>Other</v>
      </c>
    </row>
    <row r="141" spans="2:5">
      <c r="B141">
        <v>271000</v>
      </c>
      <c r="C141" t="s">
        <v>267</v>
      </c>
      <c r="D141">
        <v>3</v>
      </c>
      <c r="E141" t="str">
        <f>IF(tbl_SalAccts[[#This Row],[Value]]=1,"Salary",IF(tbl_SalAccts[[#This Row],[Value]]=2,"Fringe",IF(tbl_SalAccts[[#This Row],[Value]]=3,"Other","")))</f>
        <v>Other</v>
      </c>
    </row>
    <row r="142" spans="2:5">
      <c r="B142">
        <v>272000</v>
      </c>
      <c r="C142" t="s">
        <v>268</v>
      </c>
      <c r="D142">
        <v>3</v>
      </c>
      <c r="E142" t="str">
        <f>IF(tbl_SalAccts[[#This Row],[Value]]=1,"Salary",IF(tbl_SalAccts[[#This Row],[Value]]=2,"Fringe",IF(tbl_SalAccts[[#This Row],[Value]]=3,"Other","")))</f>
        <v>Other</v>
      </c>
    </row>
    <row r="143" spans="2:5">
      <c r="B143">
        <v>273000</v>
      </c>
      <c r="C143" t="s">
        <v>269</v>
      </c>
      <c r="D143">
        <v>3</v>
      </c>
      <c r="E143" t="str">
        <f>IF(tbl_SalAccts[[#This Row],[Value]]=1,"Salary",IF(tbl_SalAccts[[#This Row],[Value]]=2,"Fringe",IF(tbl_SalAccts[[#This Row],[Value]]=3,"Other","")))</f>
        <v>Other</v>
      </c>
    </row>
    <row r="144" spans="2:5">
      <c r="B144">
        <v>274000</v>
      </c>
      <c r="C144" t="s">
        <v>270</v>
      </c>
      <c r="D144">
        <v>3</v>
      </c>
      <c r="E144" t="str">
        <f>IF(tbl_SalAccts[[#This Row],[Value]]=1,"Salary",IF(tbl_SalAccts[[#This Row],[Value]]=2,"Fringe",IF(tbl_SalAccts[[#This Row],[Value]]=3,"Other","")))</f>
        <v>Other</v>
      </c>
    </row>
    <row r="145" spans="2:5">
      <c r="B145">
        <v>275000</v>
      </c>
      <c r="C145" t="s">
        <v>271</v>
      </c>
      <c r="D145">
        <v>3</v>
      </c>
      <c r="E145" t="str">
        <f>IF(tbl_SalAccts[[#This Row],[Value]]=1,"Salary",IF(tbl_SalAccts[[#This Row],[Value]]=2,"Fringe",IF(tbl_SalAccts[[#This Row],[Value]]=3,"Other","")))</f>
        <v>Other</v>
      </c>
    </row>
    <row r="146" spans="2:5">
      <c r="B146">
        <v>276000</v>
      </c>
      <c r="C146" t="s">
        <v>272</v>
      </c>
      <c r="D146">
        <v>3</v>
      </c>
      <c r="E146" t="str">
        <f>IF(tbl_SalAccts[[#This Row],[Value]]=1,"Salary",IF(tbl_SalAccts[[#This Row],[Value]]=2,"Fringe",IF(tbl_SalAccts[[#This Row],[Value]]=3,"Other","")))</f>
        <v>Other</v>
      </c>
    </row>
    <row r="147" spans="2:5">
      <c r="B147">
        <v>277000</v>
      </c>
      <c r="C147" t="s">
        <v>273</v>
      </c>
      <c r="D147">
        <v>3</v>
      </c>
      <c r="E147" t="str">
        <f>IF(tbl_SalAccts[[#This Row],[Value]]=1,"Salary",IF(tbl_SalAccts[[#This Row],[Value]]=2,"Fringe",IF(tbl_SalAccts[[#This Row],[Value]]=3,"Other","")))</f>
        <v>Other</v>
      </c>
    </row>
    <row r="148" spans="2:5">
      <c r="B148">
        <v>278000</v>
      </c>
      <c r="C148" t="s">
        <v>274</v>
      </c>
      <c r="D148">
        <v>3</v>
      </c>
      <c r="E148" t="str">
        <f>IF(tbl_SalAccts[[#This Row],[Value]]=1,"Salary",IF(tbl_SalAccts[[#This Row],[Value]]=2,"Fringe",IF(tbl_SalAccts[[#This Row],[Value]]=3,"Other","")))</f>
        <v>Other</v>
      </c>
    </row>
    <row r="149" spans="2:5">
      <c r="B149">
        <v>282000</v>
      </c>
      <c r="C149" t="s">
        <v>275</v>
      </c>
      <c r="D149">
        <v>3</v>
      </c>
      <c r="E149" t="str">
        <f>IF(tbl_SalAccts[[#This Row],[Value]]=1,"Salary",IF(tbl_SalAccts[[#This Row],[Value]]=2,"Fringe",IF(tbl_SalAccts[[#This Row],[Value]]=3,"Other","")))</f>
        <v>Other</v>
      </c>
    </row>
    <row r="150" spans="2:5">
      <c r="B150">
        <v>283000</v>
      </c>
      <c r="C150" t="s">
        <v>276</v>
      </c>
      <c r="D150">
        <v>3</v>
      </c>
      <c r="E150" t="str">
        <f>IF(tbl_SalAccts[[#This Row],[Value]]=1,"Salary",IF(tbl_SalAccts[[#This Row],[Value]]=2,"Fringe",IF(tbl_SalAccts[[#This Row],[Value]]=3,"Other","")))</f>
        <v>Other</v>
      </c>
    </row>
    <row r="151" spans="2:5">
      <c r="B151">
        <v>284000</v>
      </c>
      <c r="C151" t="s">
        <v>277</v>
      </c>
      <c r="D151">
        <v>3</v>
      </c>
      <c r="E151" t="str">
        <f>IF(tbl_SalAccts[[#This Row],[Value]]=1,"Salary",IF(tbl_SalAccts[[#This Row],[Value]]=2,"Fringe",IF(tbl_SalAccts[[#This Row],[Value]]=3,"Other","")))</f>
        <v>Other</v>
      </c>
    </row>
    <row r="152" spans="2:5">
      <c r="B152">
        <v>285000</v>
      </c>
      <c r="C152" t="s">
        <v>278</v>
      </c>
      <c r="D152">
        <v>3</v>
      </c>
      <c r="E152" t="str">
        <f>IF(tbl_SalAccts[[#This Row],[Value]]=1,"Salary",IF(tbl_SalAccts[[#This Row],[Value]]=2,"Fringe",IF(tbl_SalAccts[[#This Row],[Value]]=3,"Other","")))</f>
        <v>Other</v>
      </c>
    </row>
    <row r="153" spans="2:5">
      <c r="B153">
        <v>288000</v>
      </c>
      <c r="C153" t="s">
        <v>279</v>
      </c>
      <c r="D153">
        <v>3</v>
      </c>
      <c r="E153" t="str">
        <f>IF(tbl_SalAccts[[#This Row],[Value]]=1,"Salary",IF(tbl_SalAccts[[#This Row],[Value]]=2,"Fringe",IF(tbl_SalAccts[[#This Row],[Value]]=3,"Other","")))</f>
        <v>Other</v>
      </c>
    </row>
    <row r="154" spans="2:5">
      <c r="B154">
        <v>289000</v>
      </c>
      <c r="C154" t="s">
        <v>280</v>
      </c>
      <c r="D154">
        <v>3</v>
      </c>
      <c r="E154" t="str">
        <f>IF(tbl_SalAccts[[#This Row],[Value]]=1,"Salary",IF(tbl_SalAccts[[#This Row],[Value]]=2,"Fringe",IF(tbl_SalAccts[[#This Row],[Value]]=3,"Other","")))</f>
        <v>Other</v>
      </c>
    </row>
    <row r="155" spans="2:5">
      <c r="B155">
        <v>300000</v>
      </c>
      <c r="C155" t="s">
        <v>281</v>
      </c>
      <c r="D155">
        <v>3</v>
      </c>
      <c r="E155" t="str">
        <f>IF(tbl_SalAccts[[#This Row],[Value]]=1,"Salary",IF(tbl_SalAccts[[#This Row],[Value]]=2,"Fringe",IF(tbl_SalAccts[[#This Row],[Value]]=3,"Other","")))</f>
        <v>Other</v>
      </c>
    </row>
    <row r="156" spans="2:5">
      <c r="B156">
        <v>311000</v>
      </c>
      <c r="C156" t="s">
        <v>282</v>
      </c>
      <c r="D156">
        <v>3</v>
      </c>
      <c r="E156" t="str">
        <f>IF(tbl_SalAccts[[#This Row],[Value]]=1,"Salary",IF(tbl_SalAccts[[#This Row],[Value]]=2,"Fringe",IF(tbl_SalAccts[[#This Row],[Value]]=3,"Other","")))</f>
        <v>Other</v>
      </c>
    </row>
    <row r="157" spans="2:5">
      <c r="B157">
        <v>311001</v>
      </c>
      <c r="C157" t="s">
        <v>283</v>
      </c>
      <c r="D157">
        <v>3</v>
      </c>
      <c r="E157" t="str">
        <f>IF(tbl_SalAccts[[#This Row],[Value]]=1,"Salary",IF(tbl_SalAccts[[#This Row],[Value]]=2,"Fringe",IF(tbl_SalAccts[[#This Row],[Value]]=3,"Other","")))</f>
        <v>Other</v>
      </c>
    </row>
    <row r="158" spans="2:5">
      <c r="B158">
        <v>311002</v>
      </c>
      <c r="C158" t="s">
        <v>284</v>
      </c>
      <c r="D158">
        <v>3</v>
      </c>
      <c r="E158" t="str">
        <f>IF(tbl_SalAccts[[#This Row],[Value]]=1,"Salary",IF(tbl_SalAccts[[#This Row],[Value]]=2,"Fringe",IF(tbl_SalAccts[[#This Row],[Value]]=3,"Other","")))</f>
        <v>Other</v>
      </c>
    </row>
    <row r="159" spans="2:5">
      <c r="B159">
        <v>311003</v>
      </c>
      <c r="C159" t="s">
        <v>285</v>
      </c>
      <c r="D159">
        <v>3</v>
      </c>
      <c r="E159" t="str">
        <f>IF(tbl_SalAccts[[#This Row],[Value]]=1,"Salary",IF(tbl_SalAccts[[#This Row],[Value]]=2,"Fringe",IF(tbl_SalAccts[[#This Row],[Value]]=3,"Other","")))</f>
        <v>Other</v>
      </c>
    </row>
    <row r="160" spans="2:5">
      <c r="B160">
        <v>311004</v>
      </c>
      <c r="C160" t="s">
        <v>286</v>
      </c>
      <c r="D160">
        <v>3</v>
      </c>
      <c r="E160" t="str">
        <f>IF(tbl_SalAccts[[#This Row],[Value]]=1,"Salary",IF(tbl_SalAccts[[#This Row],[Value]]=2,"Fringe",IF(tbl_SalAccts[[#This Row],[Value]]=3,"Other","")))</f>
        <v>Other</v>
      </c>
    </row>
    <row r="161" spans="2:5">
      <c r="B161">
        <v>311005</v>
      </c>
      <c r="C161" t="s">
        <v>287</v>
      </c>
      <c r="D161">
        <v>3</v>
      </c>
      <c r="E161" t="str">
        <f>IF(tbl_SalAccts[[#This Row],[Value]]=1,"Salary",IF(tbl_SalAccts[[#This Row],[Value]]=2,"Fringe",IF(tbl_SalAccts[[#This Row],[Value]]=3,"Other","")))</f>
        <v>Other</v>
      </c>
    </row>
    <row r="162" spans="2:5">
      <c r="B162">
        <v>311009</v>
      </c>
      <c r="C162" t="s">
        <v>288</v>
      </c>
      <c r="D162">
        <v>3</v>
      </c>
      <c r="E162" t="str">
        <f>IF(tbl_SalAccts[[#This Row],[Value]]=1,"Salary",IF(tbl_SalAccts[[#This Row],[Value]]=2,"Fringe",IF(tbl_SalAccts[[#This Row],[Value]]=3,"Other","")))</f>
        <v>Other</v>
      </c>
    </row>
    <row r="163" spans="2:5">
      <c r="B163">
        <v>311010</v>
      </c>
      <c r="C163" t="s">
        <v>289</v>
      </c>
      <c r="D163">
        <v>3</v>
      </c>
      <c r="E163" t="str">
        <f>IF(tbl_SalAccts[[#This Row],[Value]]=1,"Salary",IF(tbl_SalAccts[[#This Row],[Value]]=2,"Fringe",IF(tbl_SalAccts[[#This Row],[Value]]=3,"Other","")))</f>
        <v>Other</v>
      </c>
    </row>
    <row r="164" spans="2:5">
      <c r="B164">
        <v>311011</v>
      </c>
      <c r="C164" t="s">
        <v>290</v>
      </c>
      <c r="D164">
        <v>3</v>
      </c>
      <c r="E164" t="str">
        <f>IF(tbl_SalAccts[[#This Row],[Value]]=1,"Salary",IF(tbl_SalAccts[[#This Row],[Value]]=2,"Fringe",IF(tbl_SalAccts[[#This Row],[Value]]=3,"Other","")))</f>
        <v>Other</v>
      </c>
    </row>
    <row r="165" spans="2:5">
      <c r="B165">
        <v>311012</v>
      </c>
      <c r="C165" t="s">
        <v>291</v>
      </c>
      <c r="D165">
        <v>3</v>
      </c>
      <c r="E165" t="str">
        <f>IF(tbl_SalAccts[[#This Row],[Value]]=1,"Salary",IF(tbl_SalAccts[[#This Row],[Value]]=2,"Fringe",IF(tbl_SalAccts[[#This Row],[Value]]=3,"Other","")))</f>
        <v>Other</v>
      </c>
    </row>
    <row r="166" spans="2:5">
      <c r="B166">
        <v>311013</v>
      </c>
      <c r="C166" t="s">
        <v>292</v>
      </c>
      <c r="D166">
        <v>3</v>
      </c>
      <c r="E166" t="str">
        <f>IF(tbl_SalAccts[[#This Row],[Value]]=1,"Salary",IF(tbl_SalAccts[[#This Row],[Value]]=2,"Fringe",IF(tbl_SalAccts[[#This Row],[Value]]=3,"Other","")))</f>
        <v>Other</v>
      </c>
    </row>
    <row r="167" spans="2:5">
      <c r="B167">
        <v>311014</v>
      </c>
      <c r="C167" t="s">
        <v>293</v>
      </c>
      <c r="D167">
        <v>3</v>
      </c>
      <c r="E167" t="str">
        <f>IF(tbl_SalAccts[[#This Row],[Value]]=1,"Salary",IF(tbl_SalAccts[[#This Row],[Value]]=2,"Fringe",IF(tbl_SalAccts[[#This Row],[Value]]=3,"Other","")))</f>
        <v>Other</v>
      </c>
    </row>
    <row r="168" spans="2:5">
      <c r="B168">
        <v>311015</v>
      </c>
      <c r="C168" t="s">
        <v>294</v>
      </c>
      <c r="D168">
        <v>3</v>
      </c>
      <c r="E168" t="str">
        <f>IF(tbl_SalAccts[[#This Row],[Value]]=1,"Salary",IF(tbl_SalAccts[[#This Row],[Value]]=2,"Fringe",IF(tbl_SalAccts[[#This Row],[Value]]=3,"Other","")))</f>
        <v>Other</v>
      </c>
    </row>
    <row r="169" spans="2:5">
      <c r="B169">
        <v>311016</v>
      </c>
      <c r="C169" t="s">
        <v>295</v>
      </c>
      <c r="D169">
        <v>3</v>
      </c>
      <c r="E169" t="str">
        <f>IF(tbl_SalAccts[[#This Row],[Value]]=1,"Salary",IF(tbl_SalAccts[[#This Row],[Value]]=2,"Fringe",IF(tbl_SalAccts[[#This Row],[Value]]=3,"Other","")))</f>
        <v>Other</v>
      </c>
    </row>
    <row r="170" spans="2:5">
      <c r="B170">
        <v>311017</v>
      </c>
      <c r="C170" t="s">
        <v>296</v>
      </c>
      <c r="D170">
        <v>3</v>
      </c>
      <c r="E170" t="str">
        <f>IF(tbl_SalAccts[[#This Row],[Value]]=1,"Salary",IF(tbl_SalAccts[[#This Row],[Value]]=2,"Fringe",IF(tbl_SalAccts[[#This Row],[Value]]=3,"Other","")))</f>
        <v>Other</v>
      </c>
    </row>
    <row r="171" spans="2:5">
      <c r="B171">
        <v>311018</v>
      </c>
      <c r="C171" t="s">
        <v>297</v>
      </c>
      <c r="D171">
        <v>3</v>
      </c>
      <c r="E171" t="str">
        <f>IF(tbl_SalAccts[[#This Row],[Value]]=1,"Salary",IF(tbl_SalAccts[[#This Row],[Value]]=2,"Fringe",IF(tbl_SalAccts[[#This Row],[Value]]=3,"Other","")))</f>
        <v>Other</v>
      </c>
    </row>
    <row r="172" spans="2:5">
      <c r="B172">
        <v>311019</v>
      </c>
      <c r="C172" t="s">
        <v>298</v>
      </c>
      <c r="D172">
        <v>3</v>
      </c>
      <c r="E172" t="str">
        <f>IF(tbl_SalAccts[[#This Row],[Value]]=1,"Salary",IF(tbl_SalAccts[[#This Row],[Value]]=2,"Fringe",IF(tbl_SalAccts[[#This Row],[Value]]=3,"Other","")))</f>
        <v>Other</v>
      </c>
    </row>
    <row r="173" spans="2:5">
      <c r="B173">
        <v>311020</v>
      </c>
      <c r="C173" t="s">
        <v>299</v>
      </c>
      <c r="D173">
        <v>3</v>
      </c>
      <c r="E173" t="str">
        <f>IF(tbl_SalAccts[[#This Row],[Value]]=1,"Salary",IF(tbl_SalAccts[[#This Row],[Value]]=2,"Fringe",IF(tbl_SalAccts[[#This Row],[Value]]=3,"Other","")))</f>
        <v>Other</v>
      </c>
    </row>
    <row r="174" spans="2:5">
      <c r="B174">
        <v>311021</v>
      </c>
      <c r="C174" t="s">
        <v>300</v>
      </c>
      <c r="D174">
        <v>3</v>
      </c>
      <c r="E174" t="str">
        <f>IF(tbl_SalAccts[[#This Row],[Value]]=1,"Salary",IF(tbl_SalAccts[[#This Row],[Value]]=2,"Fringe",IF(tbl_SalAccts[[#This Row],[Value]]=3,"Other","")))</f>
        <v>Other</v>
      </c>
    </row>
    <row r="175" spans="2:5">
      <c r="B175">
        <v>311022</v>
      </c>
      <c r="C175" t="s">
        <v>301</v>
      </c>
      <c r="D175">
        <v>3</v>
      </c>
      <c r="E175" t="str">
        <f>IF(tbl_SalAccts[[#This Row],[Value]]=1,"Salary",IF(tbl_SalAccts[[#This Row],[Value]]=2,"Fringe",IF(tbl_SalAccts[[#This Row],[Value]]=3,"Other","")))</f>
        <v>Other</v>
      </c>
    </row>
    <row r="176" spans="2:5">
      <c r="B176">
        <v>311023</v>
      </c>
      <c r="C176" t="s">
        <v>302</v>
      </c>
      <c r="D176">
        <v>3</v>
      </c>
      <c r="E176" t="str">
        <f>IF(tbl_SalAccts[[#This Row],[Value]]=1,"Salary",IF(tbl_SalAccts[[#This Row],[Value]]=2,"Fringe",IF(tbl_SalAccts[[#This Row],[Value]]=3,"Other","")))</f>
        <v>Other</v>
      </c>
    </row>
    <row r="177" spans="2:5">
      <c r="B177">
        <v>311099</v>
      </c>
      <c r="C177" t="s">
        <v>303</v>
      </c>
      <c r="D177">
        <v>3</v>
      </c>
      <c r="E177" t="str">
        <f>IF(tbl_SalAccts[[#This Row],[Value]]=1,"Salary",IF(tbl_SalAccts[[#This Row],[Value]]=2,"Fringe",IF(tbl_SalAccts[[#This Row],[Value]]=3,"Other","")))</f>
        <v>Other</v>
      </c>
    </row>
    <row r="178" spans="2:5">
      <c r="B178">
        <v>313000</v>
      </c>
      <c r="C178" t="s">
        <v>304</v>
      </c>
      <c r="D178">
        <v>3</v>
      </c>
      <c r="E178" t="str">
        <f>IF(tbl_SalAccts[[#This Row],[Value]]=1,"Salary",IF(tbl_SalAccts[[#This Row],[Value]]=2,"Fringe",IF(tbl_SalAccts[[#This Row],[Value]]=3,"Other","")))</f>
        <v>Other</v>
      </c>
    </row>
    <row r="179" spans="2:5">
      <c r="B179">
        <v>313001</v>
      </c>
      <c r="C179" t="s">
        <v>305</v>
      </c>
      <c r="D179">
        <v>3</v>
      </c>
      <c r="E179" t="str">
        <f>IF(tbl_SalAccts[[#This Row],[Value]]=1,"Salary",IF(tbl_SalAccts[[#This Row],[Value]]=2,"Fringe",IF(tbl_SalAccts[[#This Row],[Value]]=3,"Other","")))</f>
        <v>Other</v>
      </c>
    </row>
    <row r="180" spans="2:5">
      <c r="B180">
        <v>321000</v>
      </c>
      <c r="C180" t="s">
        <v>306</v>
      </c>
      <c r="D180">
        <v>3</v>
      </c>
      <c r="E180" t="str">
        <f>IF(tbl_SalAccts[[#This Row],[Value]]=1,"Salary",IF(tbl_SalAccts[[#This Row],[Value]]=2,"Fringe",IF(tbl_SalAccts[[#This Row],[Value]]=3,"Other","")))</f>
        <v>Other</v>
      </c>
    </row>
    <row r="181" spans="2:5">
      <c r="B181">
        <v>324000</v>
      </c>
      <c r="C181" t="s">
        <v>307</v>
      </c>
      <c r="D181">
        <v>3</v>
      </c>
      <c r="E181" t="str">
        <f>IF(tbl_SalAccts[[#This Row],[Value]]=1,"Salary",IF(tbl_SalAccts[[#This Row],[Value]]=2,"Fringe",IF(tbl_SalAccts[[#This Row],[Value]]=3,"Other","")))</f>
        <v>Other</v>
      </c>
    </row>
    <row r="182" spans="2:5">
      <c r="B182">
        <v>329000</v>
      </c>
      <c r="C182" t="s">
        <v>308</v>
      </c>
      <c r="D182">
        <v>3</v>
      </c>
      <c r="E182" t="str">
        <f>IF(tbl_SalAccts[[#This Row],[Value]]=1,"Salary",IF(tbl_SalAccts[[#This Row],[Value]]=2,"Fringe",IF(tbl_SalAccts[[#This Row],[Value]]=3,"Other","")))</f>
        <v>Other</v>
      </c>
    </row>
    <row r="183" spans="2:5">
      <c r="B183">
        <v>331000</v>
      </c>
      <c r="C183" t="s">
        <v>309</v>
      </c>
      <c r="D183">
        <v>3</v>
      </c>
      <c r="E183" t="str">
        <f>IF(tbl_SalAccts[[#This Row],[Value]]=1,"Salary",IF(tbl_SalAccts[[#This Row],[Value]]=2,"Fringe",IF(tbl_SalAccts[[#This Row],[Value]]=3,"Other","")))</f>
        <v>Other</v>
      </c>
    </row>
    <row r="184" spans="2:5">
      <c r="B184">
        <v>331100</v>
      </c>
      <c r="C184" t="s">
        <v>310</v>
      </c>
      <c r="D184">
        <v>3</v>
      </c>
      <c r="E184" t="str">
        <f>IF(tbl_SalAccts[[#This Row],[Value]]=1,"Salary",IF(tbl_SalAccts[[#This Row],[Value]]=2,"Fringe",IF(tbl_SalAccts[[#This Row],[Value]]=3,"Other","")))</f>
        <v>Other</v>
      </c>
    </row>
    <row r="185" spans="2:5">
      <c r="B185">
        <v>351000</v>
      </c>
      <c r="C185" t="s">
        <v>311</v>
      </c>
      <c r="D185">
        <v>3</v>
      </c>
      <c r="E185" t="str">
        <f>IF(tbl_SalAccts[[#This Row],[Value]]=1,"Salary",IF(tbl_SalAccts[[#This Row],[Value]]=2,"Fringe",IF(tbl_SalAccts[[#This Row],[Value]]=3,"Other","")))</f>
        <v>Other</v>
      </c>
    </row>
    <row r="186" spans="2:5">
      <c r="B186">
        <v>352000</v>
      </c>
      <c r="C186" t="s">
        <v>312</v>
      </c>
      <c r="D186">
        <v>3</v>
      </c>
      <c r="E186" t="str">
        <f>IF(tbl_SalAccts[[#This Row],[Value]]=1,"Salary",IF(tbl_SalAccts[[#This Row],[Value]]=2,"Fringe",IF(tbl_SalAccts[[#This Row],[Value]]=3,"Other","")))</f>
        <v>Other</v>
      </c>
    </row>
    <row r="187" spans="2:5">
      <c r="B187">
        <v>353000</v>
      </c>
      <c r="C187" t="s">
        <v>313</v>
      </c>
      <c r="D187">
        <v>3</v>
      </c>
      <c r="E187" t="str">
        <f>IF(tbl_SalAccts[[#This Row],[Value]]=1,"Salary",IF(tbl_SalAccts[[#This Row],[Value]]=2,"Fringe",IF(tbl_SalAccts[[#This Row],[Value]]=3,"Other","")))</f>
        <v>Other</v>
      </c>
    </row>
    <row r="188" spans="2:5">
      <c r="B188">
        <v>355000</v>
      </c>
      <c r="C188" t="s">
        <v>314</v>
      </c>
      <c r="D188">
        <v>3</v>
      </c>
      <c r="E188" t="str">
        <f>IF(tbl_SalAccts[[#This Row],[Value]]=1,"Salary",IF(tbl_SalAccts[[#This Row],[Value]]=2,"Fringe",IF(tbl_SalAccts[[#This Row],[Value]]=3,"Other","")))</f>
        <v>Other</v>
      </c>
    </row>
    <row r="189" spans="2:5">
      <c r="B189">
        <v>357000</v>
      </c>
      <c r="C189" t="s">
        <v>315</v>
      </c>
      <c r="D189">
        <v>3</v>
      </c>
      <c r="E189" t="str">
        <f>IF(tbl_SalAccts[[#This Row],[Value]]=1,"Salary",IF(tbl_SalAccts[[#This Row],[Value]]=2,"Fringe",IF(tbl_SalAccts[[#This Row],[Value]]=3,"Other","")))</f>
        <v>Other</v>
      </c>
    </row>
    <row r="190" spans="2:5">
      <c r="B190">
        <v>358000</v>
      </c>
      <c r="C190" t="s">
        <v>316</v>
      </c>
      <c r="D190">
        <v>3</v>
      </c>
      <c r="E190" t="str">
        <f>IF(tbl_SalAccts[[#This Row],[Value]]=1,"Salary",IF(tbl_SalAccts[[#This Row],[Value]]=2,"Fringe",IF(tbl_SalAccts[[#This Row],[Value]]=3,"Other","")))</f>
        <v>Other</v>
      </c>
    </row>
    <row r="191" spans="2:5">
      <c r="B191">
        <v>359000</v>
      </c>
      <c r="C191" t="s">
        <v>317</v>
      </c>
      <c r="D191">
        <v>3</v>
      </c>
      <c r="E191" t="str">
        <f>IF(tbl_SalAccts[[#This Row],[Value]]=1,"Salary",IF(tbl_SalAccts[[#This Row],[Value]]=2,"Fringe",IF(tbl_SalAccts[[#This Row],[Value]]=3,"Other","")))</f>
        <v>Other</v>
      </c>
    </row>
    <row r="192" spans="2:5">
      <c r="B192">
        <v>361000</v>
      </c>
      <c r="C192" t="s">
        <v>318</v>
      </c>
      <c r="D192">
        <v>3</v>
      </c>
      <c r="E192" t="str">
        <f>IF(tbl_SalAccts[[#This Row],[Value]]=1,"Salary",IF(tbl_SalAccts[[#This Row],[Value]]=2,"Fringe",IF(tbl_SalAccts[[#This Row],[Value]]=3,"Other","")))</f>
        <v>Other</v>
      </c>
    </row>
    <row r="193" spans="2:5">
      <c r="B193">
        <v>361900</v>
      </c>
      <c r="C193" t="s">
        <v>319</v>
      </c>
      <c r="D193">
        <v>3</v>
      </c>
      <c r="E193" t="str">
        <f>IF(tbl_SalAccts[[#This Row],[Value]]=1,"Salary",IF(tbl_SalAccts[[#This Row],[Value]]=2,"Fringe",IF(tbl_SalAccts[[#This Row],[Value]]=3,"Other","")))</f>
        <v>Other</v>
      </c>
    </row>
    <row r="194" spans="2:5">
      <c r="B194">
        <v>363900</v>
      </c>
      <c r="C194" t="s">
        <v>320</v>
      </c>
      <c r="D194">
        <v>3</v>
      </c>
      <c r="E194" t="str">
        <f>IF(tbl_SalAccts[[#This Row],[Value]]=1,"Salary",IF(tbl_SalAccts[[#This Row],[Value]]=2,"Fringe",IF(tbl_SalAccts[[#This Row],[Value]]=3,"Other","")))</f>
        <v>Other</v>
      </c>
    </row>
    <row r="195" spans="2:5">
      <c r="B195">
        <v>364900</v>
      </c>
      <c r="C195" t="s">
        <v>321</v>
      </c>
      <c r="D195">
        <v>3</v>
      </c>
      <c r="E195" t="str">
        <f>IF(tbl_SalAccts[[#This Row],[Value]]=1,"Salary",IF(tbl_SalAccts[[#This Row],[Value]]=2,"Fringe",IF(tbl_SalAccts[[#This Row],[Value]]=3,"Other","")))</f>
        <v>Other</v>
      </c>
    </row>
    <row r="196" spans="2:5">
      <c r="B196">
        <v>365900</v>
      </c>
      <c r="C196" t="s">
        <v>322</v>
      </c>
      <c r="D196">
        <v>3</v>
      </c>
      <c r="E196" t="str">
        <f>IF(tbl_SalAccts[[#This Row],[Value]]=1,"Salary",IF(tbl_SalAccts[[#This Row],[Value]]=2,"Fringe",IF(tbl_SalAccts[[#This Row],[Value]]=3,"Other","")))</f>
        <v>Other</v>
      </c>
    </row>
    <row r="197" spans="2:5">
      <c r="B197">
        <v>385000</v>
      </c>
      <c r="C197" t="s">
        <v>323</v>
      </c>
      <c r="D197">
        <v>3</v>
      </c>
      <c r="E197" t="str">
        <f>IF(tbl_SalAccts[[#This Row],[Value]]=1,"Salary",IF(tbl_SalAccts[[#This Row],[Value]]=2,"Fringe",IF(tbl_SalAccts[[#This Row],[Value]]=3,"Other","")))</f>
        <v>Other</v>
      </c>
    </row>
    <row r="198" spans="2:5">
      <c r="B198">
        <v>386000</v>
      </c>
      <c r="C198" t="s">
        <v>324</v>
      </c>
      <c r="D198">
        <v>3</v>
      </c>
      <c r="E198" t="str">
        <f>IF(tbl_SalAccts[[#This Row],[Value]]=1,"Salary",IF(tbl_SalAccts[[#This Row],[Value]]=2,"Fringe",IF(tbl_SalAccts[[#This Row],[Value]]=3,"Other","")))</f>
        <v>Other</v>
      </c>
    </row>
    <row r="199" spans="2:5">
      <c r="B199">
        <v>387000</v>
      </c>
      <c r="C199" t="s">
        <v>325</v>
      </c>
      <c r="D199">
        <v>3</v>
      </c>
      <c r="E199" t="str">
        <f>IF(tbl_SalAccts[[#This Row],[Value]]=1,"Salary",IF(tbl_SalAccts[[#This Row],[Value]]=2,"Fringe",IF(tbl_SalAccts[[#This Row],[Value]]=3,"Other","")))</f>
        <v>Other</v>
      </c>
    </row>
    <row r="200" spans="2:5">
      <c r="B200">
        <v>389000</v>
      </c>
      <c r="C200" t="s">
        <v>326</v>
      </c>
      <c r="D200">
        <v>3</v>
      </c>
      <c r="E200" t="str">
        <f>IF(tbl_SalAccts[[#This Row],[Value]]=1,"Salary",IF(tbl_SalAccts[[#This Row],[Value]]=2,"Fringe",IF(tbl_SalAccts[[#This Row],[Value]]=3,"Other","")))</f>
        <v>Other</v>
      </c>
    </row>
    <row r="201" spans="2:5">
      <c r="B201">
        <v>389100</v>
      </c>
      <c r="C201" t="s">
        <v>327</v>
      </c>
      <c r="D201">
        <v>3</v>
      </c>
      <c r="E201" t="str">
        <f>IF(tbl_SalAccts[[#This Row],[Value]]=1,"Salary",IF(tbl_SalAccts[[#This Row],[Value]]=2,"Fringe",IF(tbl_SalAccts[[#This Row],[Value]]=3,"Other","")))</f>
        <v>Other</v>
      </c>
    </row>
    <row r="202" spans="2:5">
      <c r="B202">
        <v>389200</v>
      </c>
      <c r="C202" t="s">
        <v>328</v>
      </c>
      <c r="D202">
        <v>3</v>
      </c>
      <c r="E202" t="str">
        <f>IF(tbl_SalAccts[[#This Row],[Value]]=1,"Salary",IF(tbl_SalAccts[[#This Row],[Value]]=2,"Fringe",IF(tbl_SalAccts[[#This Row],[Value]]=3,"Other","")))</f>
        <v>Other</v>
      </c>
    </row>
    <row r="203" spans="2:5">
      <c r="B203">
        <v>389300</v>
      </c>
      <c r="C203" t="s">
        <v>329</v>
      </c>
      <c r="D203">
        <v>3</v>
      </c>
      <c r="E203" t="str">
        <f>IF(tbl_SalAccts[[#This Row],[Value]]=1,"Salary",IF(tbl_SalAccts[[#This Row],[Value]]=2,"Fringe",IF(tbl_SalAccts[[#This Row],[Value]]=3,"Other","")))</f>
        <v>Other</v>
      </c>
    </row>
    <row r="204" spans="2:5">
      <c r="B204">
        <v>389400</v>
      </c>
      <c r="C204" t="s">
        <v>330</v>
      </c>
      <c r="D204">
        <v>3</v>
      </c>
      <c r="E204" t="str">
        <f>IF(tbl_SalAccts[[#This Row],[Value]]=1,"Salary",IF(tbl_SalAccts[[#This Row],[Value]]=2,"Fringe",IF(tbl_SalAccts[[#This Row],[Value]]=3,"Other","")))</f>
        <v>Other</v>
      </c>
    </row>
    <row r="205" spans="2:5">
      <c r="B205">
        <v>399000</v>
      </c>
      <c r="C205" t="s">
        <v>331</v>
      </c>
      <c r="D205">
        <v>3</v>
      </c>
      <c r="E205" t="str">
        <f>IF(tbl_SalAccts[[#This Row],[Value]]=1,"Salary",IF(tbl_SalAccts[[#This Row],[Value]]=2,"Fringe",IF(tbl_SalAccts[[#This Row],[Value]]=3,"Other","")))</f>
        <v>Other</v>
      </c>
    </row>
    <row r="206" spans="2:5">
      <c r="B206">
        <v>399001</v>
      </c>
      <c r="C206" t="s">
        <v>332</v>
      </c>
      <c r="D206">
        <v>3</v>
      </c>
      <c r="E206" t="str">
        <f>IF(tbl_SalAccts[[#This Row],[Value]]=1,"Salary",IF(tbl_SalAccts[[#This Row],[Value]]=2,"Fringe",IF(tbl_SalAccts[[#This Row],[Value]]=3,"Other","")))</f>
        <v>Other</v>
      </c>
    </row>
    <row r="207" spans="2:5">
      <c r="B207">
        <v>399100</v>
      </c>
      <c r="C207" t="s">
        <v>333</v>
      </c>
      <c r="D207">
        <v>3</v>
      </c>
      <c r="E207" t="str">
        <f>IF(tbl_SalAccts[[#This Row],[Value]]=1,"Salary",IF(tbl_SalAccts[[#This Row],[Value]]=2,"Fringe",IF(tbl_SalAccts[[#This Row],[Value]]=3,"Other","")))</f>
        <v>Other</v>
      </c>
    </row>
    <row r="208" spans="2:5">
      <c r="B208">
        <v>399102</v>
      </c>
      <c r="C208" t="s">
        <v>334</v>
      </c>
      <c r="D208">
        <v>3</v>
      </c>
      <c r="E208" t="str">
        <f>IF(tbl_SalAccts[[#This Row],[Value]]=1,"Salary",IF(tbl_SalAccts[[#This Row],[Value]]=2,"Fringe",IF(tbl_SalAccts[[#This Row],[Value]]=3,"Other","")))</f>
        <v>Other</v>
      </c>
    </row>
    <row r="209" spans="2:5">
      <c r="B209">
        <v>400000</v>
      </c>
      <c r="C209" t="s">
        <v>335</v>
      </c>
      <c r="D209">
        <v>3</v>
      </c>
      <c r="E209" t="str">
        <f>IF(tbl_SalAccts[[#This Row],[Value]]=1,"Salary",IF(tbl_SalAccts[[#This Row],[Value]]=2,"Fringe",IF(tbl_SalAccts[[#This Row],[Value]]=3,"Other","")))</f>
        <v>Other</v>
      </c>
    </row>
    <row r="210" spans="2:5">
      <c r="B210">
        <v>451000</v>
      </c>
      <c r="C210" t="s">
        <v>336</v>
      </c>
      <c r="D210">
        <v>3</v>
      </c>
      <c r="E210" t="str">
        <f>IF(tbl_SalAccts[[#This Row],[Value]]=1,"Salary",IF(tbl_SalAccts[[#This Row],[Value]]=2,"Fringe",IF(tbl_SalAccts[[#This Row],[Value]]=3,"Other","")))</f>
        <v>Other</v>
      </c>
    </row>
    <row r="211" spans="2:5">
      <c r="B211">
        <v>461000</v>
      </c>
      <c r="C211" t="s">
        <v>337</v>
      </c>
      <c r="D211">
        <v>3</v>
      </c>
      <c r="E211" t="str">
        <f>IF(tbl_SalAccts[[#This Row],[Value]]=1,"Salary",IF(tbl_SalAccts[[#This Row],[Value]]=2,"Fringe",IF(tbl_SalAccts[[#This Row],[Value]]=3,"Other","")))</f>
        <v>Other</v>
      </c>
    </row>
    <row r="212" spans="2:5">
      <c r="B212">
        <v>461010</v>
      </c>
      <c r="C212" t="s">
        <v>338</v>
      </c>
      <c r="D212">
        <v>3</v>
      </c>
      <c r="E212" t="str">
        <f>IF(tbl_SalAccts[[#This Row],[Value]]=1,"Salary",IF(tbl_SalAccts[[#This Row],[Value]]=2,"Fringe",IF(tbl_SalAccts[[#This Row],[Value]]=3,"Other","")))</f>
        <v>Other</v>
      </c>
    </row>
    <row r="213" spans="2:5">
      <c r="B213">
        <v>461900</v>
      </c>
      <c r="C213" t="s">
        <v>339</v>
      </c>
      <c r="D213">
        <v>3</v>
      </c>
      <c r="E213" t="str">
        <f>IF(tbl_SalAccts[[#This Row],[Value]]=1,"Salary",IF(tbl_SalAccts[[#This Row],[Value]]=2,"Fringe",IF(tbl_SalAccts[[#This Row],[Value]]=3,"Other","")))</f>
        <v>Other</v>
      </c>
    </row>
    <row r="214" spans="2:5">
      <c r="B214">
        <v>463000</v>
      </c>
      <c r="C214" t="s">
        <v>340</v>
      </c>
      <c r="D214">
        <v>3</v>
      </c>
      <c r="E214" t="str">
        <f>IF(tbl_SalAccts[[#This Row],[Value]]=1,"Salary",IF(tbl_SalAccts[[#This Row],[Value]]=2,"Fringe",IF(tbl_SalAccts[[#This Row],[Value]]=3,"Other","")))</f>
        <v>Other</v>
      </c>
    </row>
    <row r="215" spans="2:5">
      <c r="B215">
        <v>463900</v>
      </c>
      <c r="C215" t="s">
        <v>341</v>
      </c>
      <c r="D215">
        <v>3</v>
      </c>
      <c r="E215" t="str">
        <f>IF(tbl_SalAccts[[#This Row],[Value]]=1,"Salary",IF(tbl_SalAccts[[#This Row],[Value]]=2,"Fringe",IF(tbl_SalAccts[[#This Row],[Value]]=3,"Other","")))</f>
        <v>Other</v>
      </c>
    </row>
    <row r="216" spans="2:5">
      <c r="B216">
        <v>464000</v>
      </c>
      <c r="C216" t="s">
        <v>342</v>
      </c>
      <c r="D216">
        <v>3</v>
      </c>
      <c r="E216" t="str">
        <f>IF(tbl_SalAccts[[#This Row],[Value]]=1,"Salary",IF(tbl_SalAccts[[#This Row],[Value]]=2,"Fringe",IF(tbl_SalAccts[[#This Row],[Value]]=3,"Other","")))</f>
        <v>Other</v>
      </c>
    </row>
    <row r="217" spans="2:5">
      <c r="B217">
        <v>464900</v>
      </c>
      <c r="C217" t="s">
        <v>343</v>
      </c>
      <c r="D217">
        <v>3</v>
      </c>
      <c r="E217" t="str">
        <f>IF(tbl_SalAccts[[#This Row],[Value]]=1,"Salary",IF(tbl_SalAccts[[#This Row],[Value]]=2,"Fringe",IF(tbl_SalAccts[[#This Row],[Value]]=3,"Other","")))</f>
        <v>Other</v>
      </c>
    </row>
    <row r="218" spans="2:5">
      <c r="B218">
        <v>465000</v>
      </c>
      <c r="C218" t="s">
        <v>344</v>
      </c>
      <c r="D218">
        <v>3</v>
      </c>
      <c r="E218" t="str">
        <f>IF(tbl_SalAccts[[#This Row],[Value]]=1,"Salary",IF(tbl_SalAccts[[#This Row],[Value]]=2,"Fringe",IF(tbl_SalAccts[[#This Row],[Value]]=3,"Other","")))</f>
        <v>Other</v>
      </c>
    </row>
    <row r="219" spans="2:5">
      <c r="B219">
        <v>465900</v>
      </c>
      <c r="C219" t="s">
        <v>345</v>
      </c>
      <c r="D219">
        <v>3</v>
      </c>
      <c r="E219" t="str">
        <f>IF(tbl_SalAccts[[#This Row],[Value]]=1,"Salary",IF(tbl_SalAccts[[#This Row],[Value]]=2,"Fringe",IF(tbl_SalAccts[[#This Row],[Value]]=3,"Other","")))</f>
        <v>Other</v>
      </c>
    </row>
    <row r="220" spans="2:5">
      <c r="B220">
        <v>469000</v>
      </c>
      <c r="C220" t="s">
        <v>346</v>
      </c>
      <c r="D220">
        <v>3</v>
      </c>
      <c r="E220" t="str">
        <f>IF(tbl_SalAccts[[#This Row],[Value]]=1,"Salary",IF(tbl_SalAccts[[#This Row],[Value]]=2,"Fringe",IF(tbl_SalAccts[[#This Row],[Value]]=3,"Other","")))</f>
        <v>Other</v>
      </c>
    </row>
    <row r="221" spans="2:5">
      <c r="B221">
        <v>485000</v>
      </c>
      <c r="C221" t="s">
        <v>347</v>
      </c>
      <c r="D221">
        <v>3</v>
      </c>
      <c r="E221" t="str">
        <f>IF(tbl_SalAccts[[#This Row],[Value]]=1,"Salary",IF(tbl_SalAccts[[#This Row],[Value]]=2,"Fringe",IF(tbl_SalAccts[[#This Row],[Value]]=3,"Other","")))</f>
        <v>Other</v>
      </c>
    </row>
    <row r="222" spans="2:5">
      <c r="B222">
        <v>486000</v>
      </c>
      <c r="C222" t="s">
        <v>348</v>
      </c>
      <c r="D222">
        <v>3</v>
      </c>
      <c r="E222" t="str">
        <f>IF(tbl_SalAccts[[#This Row],[Value]]=1,"Salary",IF(tbl_SalAccts[[#This Row],[Value]]=2,"Fringe",IF(tbl_SalAccts[[#This Row],[Value]]=3,"Other","")))</f>
        <v>Other</v>
      </c>
    </row>
    <row r="223" spans="2:5">
      <c r="B223">
        <v>487000</v>
      </c>
      <c r="C223" t="s">
        <v>349</v>
      </c>
      <c r="D223">
        <v>3</v>
      </c>
      <c r="E223" t="str">
        <f>IF(tbl_SalAccts[[#This Row],[Value]]=1,"Salary",IF(tbl_SalAccts[[#This Row],[Value]]=2,"Fringe",IF(tbl_SalAccts[[#This Row],[Value]]=3,"Other","")))</f>
        <v>Other</v>
      </c>
    </row>
    <row r="224" spans="2:5">
      <c r="B224">
        <v>487010</v>
      </c>
      <c r="C224" t="s">
        <v>350</v>
      </c>
      <c r="D224">
        <v>3</v>
      </c>
      <c r="E224" t="str">
        <f>IF(tbl_SalAccts[[#This Row],[Value]]=1,"Salary",IF(tbl_SalAccts[[#This Row],[Value]]=2,"Fringe",IF(tbl_SalAccts[[#This Row],[Value]]=3,"Other","")))</f>
        <v>Other</v>
      </c>
    </row>
    <row r="225" spans="2:5">
      <c r="B225">
        <v>488000</v>
      </c>
      <c r="C225" t="s">
        <v>351</v>
      </c>
      <c r="D225">
        <v>3</v>
      </c>
      <c r="E225" t="str">
        <f>IF(tbl_SalAccts[[#This Row],[Value]]=1,"Salary",IF(tbl_SalAccts[[#This Row],[Value]]=2,"Fringe",IF(tbl_SalAccts[[#This Row],[Value]]=3,"Other","")))</f>
        <v>Other</v>
      </c>
    </row>
    <row r="226" spans="2:5">
      <c r="B226">
        <v>489000</v>
      </c>
      <c r="C226" t="s">
        <v>352</v>
      </c>
      <c r="D226">
        <v>3</v>
      </c>
      <c r="E226" t="str">
        <f>IF(tbl_SalAccts[[#This Row],[Value]]=1,"Salary",IF(tbl_SalAccts[[#This Row],[Value]]=2,"Fringe",IF(tbl_SalAccts[[#This Row],[Value]]=3,"Other","")))</f>
        <v>Other</v>
      </c>
    </row>
    <row r="227" spans="2:5">
      <c r="B227">
        <v>498000</v>
      </c>
      <c r="C227" t="s">
        <v>353</v>
      </c>
      <c r="D227">
        <v>3</v>
      </c>
      <c r="E227" t="str">
        <f>IF(tbl_SalAccts[[#This Row],[Value]]=1,"Salary",IF(tbl_SalAccts[[#This Row],[Value]]=2,"Fringe",IF(tbl_SalAccts[[#This Row],[Value]]=3,"Other","")))</f>
        <v>Other</v>
      </c>
    </row>
    <row r="228" spans="2:5">
      <c r="B228">
        <v>499000</v>
      </c>
      <c r="C228" t="s">
        <v>354</v>
      </c>
      <c r="D228">
        <v>3</v>
      </c>
      <c r="E228" t="str">
        <f>IF(tbl_SalAccts[[#This Row],[Value]]=1,"Salary",IF(tbl_SalAccts[[#This Row],[Value]]=2,"Fringe",IF(tbl_SalAccts[[#This Row],[Value]]=3,"Other","")))</f>
        <v>Other</v>
      </c>
    </row>
    <row r="229" spans="2:5">
      <c r="B229">
        <v>499100</v>
      </c>
      <c r="C229" t="s">
        <v>355</v>
      </c>
      <c r="D229">
        <v>3</v>
      </c>
      <c r="E229" t="str">
        <f>IF(tbl_SalAccts[[#This Row],[Value]]=1,"Salary",IF(tbl_SalAccts[[#This Row],[Value]]=2,"Fringe",IF(tbl_SalAccts[[#This Row],[Value]]=3,"Other","")))</f>
        <v>Other</v>
      </c>
    </row>
    <row r="230" spans="2:5">
      <c r="B230">
        <v>499102</v>
      </c>
      <c r="C230" t="s">
        <v>356</v>
      </c>
      <c r="D230">
        <v>3</v>
      </c>
      <c r="E230" t="str">
        <f>IF(tbl_SalAccts[[#This Row],[Value]]=1,"Salary",IF(tbl_SalAccts[[#This Row],[Value]]=2,"Fringe",IF(tbl_SalAccts[[#This Row],[Value]]=3,"Other","")))</f>
        <v>Other</v>
      </c>
    </row>
    <row r="231" spans="2:5">
      <c r="B231">
        <v>500000</v>
      </c>
      <c r="C231" t="s">
        <v>357</v>
      </c>
      <c r="D231">
        <v>3</v>
      </c>
      <c r="E231" t="str">
        <f>IF(tbl_SalAccts[[#This Row],[Value]]=1,"Salary",IF(tbl_SalAccts[[#This Row],[Value]]=2,"Fringe",IF(tbl_SalAccts[[#This Row],[Value]]=3,"Other","")))</f>
        <v>Other</v>
      </c>
    </row>
    <row r="232" spans="2:5">
      <c r="B232">
        <v>542000</v>
      </c>
      <c r="C232" t="s">
        <v>358</v>
      </c>
      <c r="D232">
        <v>3</v>
      </c>
      <c r="E232" t="str">
        <f>IF(tbl_SalAccts[[#This Row],[Value]]=1,"Salary",IF(tbl_SalAccts[[#This Row],[Value]]=2,"Fringe",IF(tbl_SalAccts[[#This Row],[Value]]=3,"Other","")))</f>
        <v>Other</v>
      </c>
    </row>
    <row r="233" spans="2:5">
      <c r="B233">
        <v>549000</v>
      </c>
      <c r="C233" t="s">
        <v>359</v>
      </c>
      <c r="D233">
        <v>3</v>
      </c>
      <c r="E233" t="str">
        <f>IF(tbl_SalAccts[[#This Row],[Value]]=1,"Salary",IF(tbl_SalAccts[[#This Row],[Value]]=2,"Fringe",IF(tbl_SalAccts[[#This Row],[Value]]=3,"Other","")))</f>
        <v>Other</v>
      </c>
    </row>
    <row r="234" spans="2:5">
      <c r="B234">
        <v>560800</v>
      </c>
      <c r="C234" t="s">
        <v>360</v>
      </c>
      <c r="D234">
        <v>3</v>
      </c>
      <c r="E234" t="str">
        <f>IF(tbl_SalAccts[[#This Row],[Value]]=1,"Salary",IF(tbl_SalAccts[[#This Row],[Value]]=2,"Fringe",IF(tbl_SalAccts[[#This Row],[Value]]=3,"Other","")))</f>
        <v>Other</v>
      </c>
    </row>
    <row r="235" spans="2:5">
      <c r="B235">
        <v>561100</v>
      </c>
      <c r="C235" t="s">
        <v>361</v>
      </c>
      <c r="D235">
        <v>3</v>
      </c>
      <c r="E235" t="str">
        <f>IF(tbl_SalAccts[[#This Row],[Value]]=1,"Salary",IF(tbl_SalAccts[[#This Row],[Value]]=2,"Fringe",IF(tbl_SalAccts[[#This Row],[Value]]=3,"Other","")))</f>
        <v>Other</v>
      </c>
    </row>
    <row r="236" spans="2:5">
      <c r="B236">
        <v>562100</v>
      </c>
      <c r="C236" t="s">
        <v>362</v>
      </c>
      <c r="D236">
        <v>3</v>
      </c>
      <c r="E236" t="str">
        <f>IF(tbl_SalAccts[[#This Row],[Value]]=1,"Salary",IF(tbl_SalAccts[[#This Row],[Value]]=2,"Fringe",IF(tbl_SalAccts[[#This Row],[Value]]=3,"Other","")))</f>
        <v>Other</v>
      </c>
    </row>
    <row r="237" spans="2:5">
      <c r="B237">
        <v>562200</v>
      </c>
      <c r="C237" t="s">
        <v>363</v>
      </c>
      <c r="D237">
        <v>3</v>
      </c>
      <c r="E237" t="str">
        <f>IF(tbl_SalAccts[[#This Row],[Value]]=1,"Salary",IF(tbl_SalAccts[[#This Row],[Value]]=2,"Fringe",IF(tbl_SalAccts[[#This Row],[Value]]=3,"Other","")))</f>
        <v>Other</v>
      </c>
    </row>
    <row r="238" spans="2:5">
      <c r="B238">
        <v>562300</v>
      </c>
      <c r="C238" t="s">
        <v>364</v>
      </c>
      <c r="D238">
        <v>3</v>
      </c>
      <c r="E238" t="str">
        <f>IF(tbl_SalAccts[[#This Row],[Value]]=1,"Salary",IF(tbl_SalAccts[[#This Row],[Value]]=2,"Fringe",IF(tbl_SalAccts[[#This Row],[Value]]=3,"Other","")))</f>
        <v>Other</v>
      </c>
    </row>
    <row r="239" spans="2:5">
      <c r="B239">
        <v>563000</v>
      </c>
      <c r="C239" t="s">
        <v>365</v>
      </c>
      <c r="D239">
        <v>3</v>
      </c>
      <c r="E239" t="str">
        <f>IF(tbl_SalAccts[[#This Row],[Value]]=1,"Salary",IF(tbl_SalAccts[[#This Row],[Value]]=2,"Fringe",IF(tbl_SalAccts[[#This Row],[Value]]=3,"Other","")))</f>
        <v>Other</v>
      </c>
    </row>
    <row r="240" spans="2:5">
      <c r="B240">
        <v>564000</v>
      </c>
      <c r="C240" t="s">
        <v>366</v>
      </c>
      <c r="D240">
        <v>3</v>
      </c>
      <c r="E240" t="str">
        <f>IF(tbl_SalAccts[[#This Row],[Value]]=1,"Salary",IF(tbl_SalAccts[[#This Row],[Value]]=2,"Fringe",IF(tbl_SalAccts[[#This Row],[Value]]=3,"Other","")))</f>
        <v>Other</v>
      </c>
    </row>
    <row r="241" spans="2:5">
      <c r="B241">
        <v>600000</v>
      </c>
      <c r="C241" t="s">
        <v>367</v>
      </c>
      <c r="D241">
        <v>3</v>
      </c>
      <c r="E241" t="str">
        <f>IF(tbl_SalAccts[[#This Row],[Value]]=1,"Salary",IF(tbl_SalAccts[[#This Row],[Value]]=2,"Fringe",IF(tbl_SalAccts[[#This Row],[Value]]=3,"Other","")))</f>
        <v>Other</v>
      </c>
    </row>
    <row r="242" spans="2:5">
      <c r="B242">
        <v>600001</v>
      </c>
      <c r="C242" t="s">
        <v>368</v>
      </c>
      <c r="D242">
        <v>3</v>
      </c>
      <c r="E242" t="str">
        <f>IF(tbl_SalAccts[[#This Row],[Value]]=1,"Salary",IF(tbl_SalAccts[[#This Row],[Value]]=2,"Fringe",IF(tbl_SalAccts[[#This Row],[Value]]=3,"Other","")))</f>
        <v>Other</v>
      </c>
    </row>
    <row r="243" spans="2:5">
      <c r="B243">
        <v>600015</v>
      </c>
      <c r="C243" t="s">
        <v>369</v>
      </c>
      <c r="D243">
        <v>3</v>
      </c>
      <c r="E243" t="str">
        <f>IF(tbl_SalAccts[[#This Row],[Value]]=1,"Salary",IF(tbl_SalAccts[[#This Row],[Value]]=2,"Fringe",IF(tbl_SalAccts[[#This Row],[Value]]=3,"Other","")))</f>
        <v>Other</v>
      </c>
    </row>
    <row r="244" spans="2:5">
      <c r="B244">
        <v>600111</v>
      </c>
      <c r="C244" t="s">
        <v>370</v>
      </c>
      <c r="D244">
        <v>3</v>
      </c>
      <c r="E244" t="str">
        <f>IF(tbl_SalAccts[[#This Row],[Value]]=1,"Salary",IF(tbl_SalAccts[[#This Row],[Value]]=2,"Fringe",IF(tbl_SalAccts[[#This Row],[Value]]=3,"Other","")))</f>
        <v>Other</v>
      </c>
    </row>
    <row r="245" spans="2:5">
      <c r="B245">
        <v>600112</v>
      </c>
      <c r="C245" t="s">
        <v>371</v>
      </c>
      <c r="D245">
        <v>3</v>
      </c>
      <c r="E245" t="str">
        <f>IF(tbl_SalAccts[[#This Row],[Value]]=1,"Salary",IF(tbl_SalAccts[[#This Row],[Value]]=2,"Fringe",IF(tbl_SalAccts[[#This Row],[Value]]=3,"Other","")))</f>
        <v>Other</v>
      </c>
    </row>
    <row r="246" spans="2:5">
      <c r="B246">
        <v>600113</v>
      </c>
      <c r="C246" t="s">
        <v>372</v>
      </c>
      <c r="D246">
        <v>3</v>
      </c>
      <c r="E246" t="str">
        <f>IF(tbl_SalAccts[[#This Row],[Value]]=1,"Salary",IF(tbl_SalAccts[[#This Row],[Value]]=2,"Fringe",IF(tbl_SalAccts[[#This Row],[Value]]=3,"Other","")))</f>
        <v>Other</v>
      </c>
    </row>
    <row r="247" spans="2:5">
      <c r="B247">
        <v>600114</v>
      </c>
      <c r="C247" t="s">
        <v>373</v>
      </c>
      <c r="D247">
        <v>3</v>
      </c>
      <c r="E247" t="str">
        <f>IF(tbl_SalAccts[[#This Row],[Value]]=1,"Salary",IF(tbl_SalAccts[[#This Row],[Value]]=2,"Fringe",IF(tbl_SalAccts[[#This Row],[Value]]=3,"Other","")))</f>
        <v>Other</v>
      </c>
    </row>
    <row r="248" spans="2:5">
      <c r="B248">
        <v>600221</v>
      </c>
      <c r="C248" t="s">
        <v>374</v>
      </c>
      <c r="D248">
        <v>3</v>
      </c>
      <c r="E248" t="str">
        <f>IF(tbl_SalAccts[[#This Row],[Value]]=1,"Salary",IF(tbl_SalAccts[[#This Row],[Value]]=2,"Fringe",IF(tbl_SalAccts[[#This Row],[Value]]=3,"Other","")))</f>
        <v>Other</v>
      </c>
    </row>
    <row r="249" spans="2:5">
      <c r="B249">
        <v>600222</v>
      </c>
      <c r="C249" t="s">
        <v>375</v>
      </c>
      <c r="D249">
        <v>3</v>
      </c>
      <c r="E249" t="str">
        <f>IF(tbl_SalAccts[[#This Row],[Value]]=1,"Salary",IF(tbl_SalAccts[[#This Row],[Value]]=2,"Fringe",IF(tbl_SalAccts[[#This Row],[Value]]=3,"Other","")))</f>
        <v>Other</v>
      </c>
    </row>
    <row r="250" spans="2:5">
      <c r="B250">
        <v>600501</v>
      </c>
      <c r="C250" t="s">
        <v>376</v>
      </c>
      <c r="D250">
        <v>3</v>
      </c>
      <c r="E250" t="str">
        <f>IF(tbl_SalAccts[[#This Row],[Value]]=1,"Salary",IF(tbl_SalAccts[[#This Row],[Value]]=2,"Fringe",IF(tbl_SalAccts[[#This Row],[Value]]=3,"Other","")))</f>
        <v>Other</v>
      </c>
    </row>
    <row r="251" spans="2:5">
      <c r="B251">
        <v>600502</v>
      </c>
      <c r="C251" t="s">
        <v>377</v>
      </c>
      <c r="D251">
        <v>3</v>
      </c>
      <c r="E251" t="str">
        <f>IF(tbl_SalAccts[[#This Row],[Value]]=1,"Salary",IF(tbl_SalAccts[[#This Row],[Value]]=2,"Fringe",IF(tbl_SalAccts[[#This Row],[Value]]=3,"Other","")))</f>
        <v>Other</v>
      </c>
    </row>
    <row r="252" spans="2:5">
      <c r="B252">
        <v>600503</v>
      </c>
      <c r="C252" t="s">
        <v>378</v>
      </c>
      <c r="D252">
        <v>3</v>
      </c>
      <c r="E252" t="str">
        <f>IF(tbl_SalAccts[[#This Row],[Value]]=1,"Salary",IF(tbl_SalAccts[[#This Row],[Value]]=2,"Fringe",IF(tbl_SalAccts[[#This Row],[Value]]=3,"Other","")))</f>
        <v>Other</v>
      </c>
    </row>
    <row r="253" spans="2:5">
      <c r="B253">
        <v>600504</v>
      </c>
      <c r="C253" t="s">
        <v>379</v>
      </c>
      <c r="D253">
        <v>3</v>
      </c>
      <c r="E253" t="str">
        <f>IF(tbl_SalAccts[[#This Row],[Value]]=1,"Salary",IF(tbl_SalAccts[[#This Row],[Value]]=2,"Fringe",IF(tbl_SalAccts[[#This Row],[Value]]=3,"Other","")))</f>
        <v>Other</v>
      </c>
    </row>
    <row r="254" spans="2:5">
      <c r="B254">
        <v>600505</v>
      </c>
      <c r="C254" t="s">
        <v>380</v>
      </c>
      <c r="D254">
        <v>3</v>
      </c>
      <c r="E254" t="str">
        <f>IF(tbl_SalAccts[[#This Row],[Value]]=1,"Salary",IF(tbl_SalAccts[[#This Row],[Value]]=2,"Fringe",IF(tbl_SalAccts[[#This Row],[Value]]=3,"Other","")))</f>
        <v>Other</v>
      </c>
    </row>
    <row r="255" spans="2:5">
      <c r="B255">
        <v>600551</v>
      </c>
      <c r="C255" t="s">
        <v>381</v>
      </c>
      <c r="D255">
        <v>3</v>
      </c>
      <c r="E255" t="str">
        <f>IF(tbl_SalAccts[[#This Row],[Value]]=1,"Salary",IF(tbl_SalAccts[[#This Row],[Value]]=2,"Fringe",IF(tbl_SalAccts[[#This Row],[Value]]=3,"Other","")))</f>
        <v>Other</v>
      </c>
    </row>
    <row r="256" spans="2:5">
      <c r="B256">
        <v>600552</v>
      </c>
      <c r="C256" t="s">
        <v>382</v>
      </c>
      <c r="D256">
        <v>3</v>
      </c>
      <c r="E256" t="str">
        <f>IF(tbl_SalAccts[[#This Row],[Value]]=1,"Salary",IF(tbl_SalAccts[[#This Row],[Value]]=2,"Fringe",IF(tbl_SalAccts[[#This Row],[Value]]=3,"Other","")))</f>
        <v>Other</v>
      </c>
    </row>
    <row r="257" spans="2:5">
      <c r="B257">
        <v>600553</v>
      </c>
      <c r="C257" t="s">
        <v>383</v>
      </c>
      <c r="D257">
        <v>3</v>
      </c>
      <c r="E257" t="str">
        <f>IF(tbl_SalAccts[[#This Row],[Value]]=1,"Salary",IF(tbl_SalAccts[[#This Row],[Value]]=2,"Fringe",IF(tbl_SalAccts[[#This Row],[Value]]=3,"Other","")))</f>
        <v>Other</v>
      </c>
    </row>
    <row r="258" spans="2:5">
      <c r="B258">
        <v>600554</v>
      </c>
      <c r="C258" t="s">
        <v>384</v>
      </c>
      <c r="D258">
        <v>3</v>
      </c>
      <c r="E258" t="str">
        <f>IF(tbl_SalAccts[[#This Row],[Value]]=1,"Salary",IF(tbl_SalAccts[[#This Row],[Value]]=2,"Fringe",IF(tbl_SalAccts[[#This Row],[Value]]=3,"Other","")))</f>
        <v>Other</v>
      </c>
    </row>
    <row r="259" spans="2:5">
      <c r="B259">
        <v>600555</v>
      </c>
      <c r="C259" t="s">
        <v>385</v>
      </c>
      <c r="D259">
        <v>3</v>
      </c>
      <c r="E259" t="str">
        <f>IF(tbl_SalAccts[[#This Row],[Value]]=1,"Salary",IF(tbl_SalAccts[[#This Row],[Value]]=2,"Fringe",IF(tbl_SalAccts[[#This Row],[Value]]=3,"Other","")))</f>
        <v>Other</v>
      </c>
    </row>
    <row r="260" spans="2:5">
      <c r="B260">
        <v>600556</v>
      </c>
      <c r="C260" t="s">
        <v>386</v>
      </c>
      <c r="D260">
        <v>3</v>
      </c>
      <c r="E260" t="str">
        <f>IF(tbl_SalAccts[[#This Row],[Value]]=1,"Salary",IF(tbl_SalAccts[[#This Row],[Value]]=2,"Fringe",IF(tbl_SalAccts[[#This Row],[Value]]=3,"Other","")))</f>
        <v>Other</v>
      </c>
    </row>
    <row r="261" spans="2:5">
      <c r="B261">
        <v>600557</v>
      </c>
      <c r="C261" t="s">
        <v>387</v>
      </c>
      <c r="D261">
        <v>3</v>
      </c>
      <c r="E261" t="str">
        <f>IF(tbl_SalAccts[[#This Row],[Value]]=1,"Salary",IF(tbl_SalAccts[[#This Row],[Value]]=2,"Fringe",IF(tbl_SalAccts[[#This Row],[Value]]=3,"Other","")))</f>
        <v>Other</v>
      </c>
    </row>
    <row r="262" spans="2:5">
      <c r="B262">
        <v>600558</v>
      </c>
      <c r="C262" t="s">
        <v>388</v>
      </c>
      <c r="D262">
        <v>3</v>
      </c>
      <c r="E262" t="str">
        <f>IF(tbl_SalAccts[[#This Row],[Value]]=1,"Salary",IF(tbl_SalAccts[[#This Row],[Value]]=2,"Fringe",IF(tbl_SalAccts[[#This Row],[Value]]=3,"Other","")))</f>
        <v>Other</v>
      </c>
    </row>
    <row r="263" spans="2:5">
      <c r="B263">
        <v>600559</v>
      </c>
      <c r="C263" t="s">
        <v>389</v>
      </c>
      <c r="D263">
        <v>3</v>
      </c>
      <c r="E263" t="str">
        <f>IF(tbl_SalAccts[[#This Row],[Value]]=1,"Salary",IF(tbl_SalAccts[[#This Row],[Value]]=2,"Fringe",IF(tbl_SalAccts[[#This Row],[Value]]=3,"Other","")))</f>
        <v>Other</v>
      </c>
    </row>
    <row r="264" spans="2:5">
      <c r="B264">
        <v>600560</v>
      </c>
      <c r="C264" t="s">
        <v>390</v>
      </c>
      <c r="D264">
        <v>3</v>
      </c>
      <c r="E264" t="str">
        <f>IF(tbl_SalAccts[[#This Row],[Value]]=1,"Salary",IF(tbl_SalAccts[[#This Row],[Value]]=2,"Fringe",IF(tbl_SalAccts[[#This Row],[Value]]=3,"Other","")))</f>
        <v>Other</v>
      </c>
    </row>
    <row r="265" spans="2:5">
      <c r="B265">
        <v>600561</v>
      </c>
      <c r="C265" t="s">
        <v>391</v>
      </c>
      <c r="D265">
        <v>3</v>
      </c>
      <c r="E265" t="str">
        <f>IF(tbl_SalAccts[[#This Row],[Value]]=1,"Salary",IF(tbl_SalAccts[[#This Row],[Value]]=2,"Fringe",IF(tbl_SalAccts[[#This Row],[Value]]=3,"Other","")))</f>
        <v>Other</v>
      </c>
    </row>
    <row r="266" spans="2:5">
      <c r="B266">
        <v>600562</v>
      </c>
      <c r="C266" t="s">
        <v>392</v>
      </c>
      <c r="D266">
        <v>3</v>
      </c>
      <c r="E266" t="str">
        <f>IF(tbl_SalAccts[[#This Row],[Value]]=1,"Salary",IF(tbl_SalAccts[[#This Row],[Value]]=2,"Fringe",IF(tbl_SalAccts[[#This Row],[Value]]=3,"Other","")))</f>
        <v>Other</v>
      </c>
    </row>
    <row r="267" spans="2:5">
      <c r="B267">
        <v>600563</v>
      </c>
      <c r="C267" t="s">
        <v>393</v>
      </c>
      <c r="D267">
        <v>3</v>
      </c>
      <c r="E267" t="str">
        <f>IF(tbl_SalAccts[[#This Row],[Value]]=1,"Salary",IF(tbl_SalAccts[[#This Row],[Value]]=2,"Fringe",IF(tbl_SalAccts[[#This Row],[Value]]=3,"Other","")))</f>
        <v>Other</v>
      </c>
    </row>
    <row r="268" spans="2:5">
      <c r="B268">
        <v>600564</v>
      </c>
      <c r="C268" t="s">
        <v>394</v>
      </c>
      <c r="D268">
        <v>3</v>
      </c>
      <c r="E268" t="str">
        <f>IF(tbl_SalAccts[[#This Row],[Value]]=1,"Salary",IF(tbl_SalAccts[[#This Row],[Value]]=2,"Fringe",IF(tbl_SalAccts[[#This Row],[Value]]=3,"Other","")))</f>
        <v>Other</v>
      </c>
    </row>
    <row r="269" spans="2:5">
      <c r="B269">
        <v>600565</v>
      </c>
      <c r="C269" t="s">
        <v>395</v>
      </c>
      <c r="D269">
        <v>3</v>
      </c>
      <c r="E269" t="str">
        <f>IF(tbl_SalAccts[[#This Row],[Value]]=1,"Salary",IF(tbl_SalAccts[[#This Row],[Value]]=2,"Fringe",IF(tbl_SalAccts[[#This Row],[Value]]=3,"Other","")))</f>
        <v>Other</v>
      </c>
    </row>
    <row r="270" spans="2:5">
      <c r="B270">
        <v>600599</v>
      </c>
      <c r="C270" t="s">
        <v>396</v>
      </c>
      <c r="D270">
        <v>3</v>
      </c>
      <c r="E270" t="str">
        <f>IF(tbl_SalAccts[[#This Row],[Value]]=1,"Salary",IF(tbl_SalAccts[[#This Row],[Value]]=2,"Fringe",IF(tbl_SalAccts[[#This Row],[Value]]=3,"Other","")))</f>
        <v>Other</v>
      </c>
    </row>
    <row r="271" spans="2:5">
      <c r="B271">
        <v>600701</v>
      </c>
      <c r="C271" t="s">
        <v>397</v>
      </c>
      <c r="D271">
        <v>3</v>
      </c>
      <c r="E271" t="str">
        <f>IF(tbl_SalAccts[[#This Row],[Value]]=1,"Salary",IF(tbl_SalAccts[[#This Row],[Value]]=2,"Fringe",IF(tbl_SalAccts[[#This Row],[Value]]=3,"Other","")))</f>
        <v>Other</v>
      </c>
    </row>
    <row r="272" spans="2:5">
      <c r="B272">
        <v>600702</v>
      </c>
      <c r="C272" t="s">
        <v>398</v>
      </c>
      <c r="D272">
        <v>3</v>
      </c>
      <c r="E272" t="str">
        <f>IF(tbl_SalAccts[[#This Row],[Value]]=1,"Salary",IF(tbl_SalAccts[[#This Row],[Value]]=2,"Fringe",IF(tbl_SalAccts[[#This Row],[Value]]=3,"Other","")))</f>
        <v>Other</v>
      </c>
    </row>
    <row r="273" spans="2:5">
      <c r="B273">
        <v>600703</v>
      </c>
      <c r="C273" t="s">
        <v>399</v>
      </c>
      <c r="D273">
        <v>3</v>
      </c>
      <c r="E273" t="str">
        <f>IF(tbl_SalAccts[[#This Row],[Value]]=1,"Salary",IF(tbl_SalAccts[[#This Row],[Value]]=2,"Fringe",IF(tbl_SalAccts[[#This Row],[Value]]=3,"Other","")))</f>
        <v>Other</v>
      </c>
    </row>
    <row r="274" spans="2:5">
      <c r="B274">
        <v>600705</v>
      </c>
      <c r="C274" t="s">
        <v>400</v>
      </c>
      <c r="D274">
        <v>3</v>
      </c>
      <c r="E274" t="str">
        <f>IF(tbl_SalAccts[[#This Row],[Value]]=1,"Salary",IF(tbl_SalAccts[[#This Row],[Value]]=2,"Fringe",IF(tbl_SalAccts[[#This Row],[Value]]=3,"Other","")))</f>
        <v>Other</v>
      </c>
    </row>
    <row r="275" spans="2:5">
      <c r="B275">
        <v>601011</v>
      </c>
      <c r="C275" t="s">
        <v>401</v>
      </c>
      <c r="D275">
        <v>3</v>
      </c>
      <c r="E275" t="str">
        <f>IF(tbl_SalAccts[[#This Row],[Value]]=1,"Salary",IF(tbl_SalAccts[[#This Row],[Value]]=2,"Fringe",IF(tbl_SalAccts[[#This Row],[Value]]=3,"Other","")))</f>
        <v>Other</v>
      </c>
    </row>
    <row r="276" spans="2:5">
      <c r="B276">
        <v>601101</v>
      </c>
      <c r="C276" t="s">
        <v>402</v>
      </c>
      <c r="D276">
        <v>3</v>
      </c>
      <c r="E276" t="str">
        <f>IF(tbl_SalAccts[[#This Row],[Value]]=1,"Salary",IF(tbl_SalAccts[[#This Row],[Value]]=2,"Fringe",IF(tbl_SalAccts[[#This Row],[Value]]=3,"Other","")))</f>
        <v>Other</v>
      </c>
    </row>
    <row r="277" spans="2:5">
      <c r="B277">
        <v>601102</v>
      </c>
      <c r="C277" t="s">
        <v>403</v>
      </c>
      <c r="D277">
        <v>3</v>
      </c>
      <c r="E277" t="str">
        <f>IF(tbl_SalAccts[[#This Row],[Value]]=1,"Salary",IF(tbl_SalAccts[[#This Row],[Value]]=2,"Fringe",IF(tbl_SalAccts[[#This Row],[Value]]=3,"Other","")))</f>
        <v>Other</v>
      </c>
    </row>
    <row r="278" spans="2:5">
      <c r="B278">
        <v>601103</v>
      </c>
      <c r="C278" t="s">
        <v>404</v>
      </c>
      <c r="D278">
        <v>3</v>
      </c>
      <c r="E278" t="str">
        <f>IF(tbl_SalAccts[[#This Row],[Value]]=1,"Salary",IF(tbl_SalAccts[[#This Row],[Value]]=2,"Fringe",IF(tbl_SalAccts[[#This Row],[Value]]=3,"Other","")))</f>
        <v>Other</v>
      </c>
    </row>
    <row r="279" spans="2:5">
      <c r="B279">
        <v>601104</v>
      </c>
      <c r="C279" t="s">
        <v>405</v>
      </c>
      <c r="D279">
        <v>3</v>
      </c>
      <c r="E279" t="str">
        <f>IF(tbl_SalAccts[[#This Row],[Value]]=1,"Salary",IF(tbl_SalAccts[[#This Row],[Value]]=2,"Fringe",IF(tbl_SalAccts[[#This Row],[Value]]=3,"Other","")))</f>
        <v>Other</v>
      </c>
    </row>
    <row r="280" spans="2:5">
      <c r="B280">
        <v>601105</v>
      </c>
      <c r="C280" t="s">
        <v>406</v>
      </c>
      <c r="D280">
        <v>3</v>
      </c>
      <c r="E280" t="str">
        <f>IF(tbl_SalAccts[[#This Row],[Value]]=1,"Salary",IF(tbl_SalAccts[[#This Row],[Value]]=2,"Fringe",IF(tbl_SalAccts[[#This Row],[Value]]=3,"Other","")))</f>
        <v>Other</v>
      </c>
    </row>
    <row r="281" spans="2:5">
      <c r="B281">
        <v>601106</v>
      </c>
      <c r="C281" t="s">
        <v>407</v>
      </c>
      <c r="D281">
        <v>3</v>
      </c>
      <c r="E281" t="str">
        <f>IF(tbl_SalAccts[[#This Row],[Value]]=1,"Salary",IF(tbl_SalAccts[[#This Row],[Value]]=2,"Fringe",IF(tbl_SalAccts[[#This Row],[Value]]=3,"Other","")))</f>
        <v>Other</v>
      </c>
    </row>
    <row r="282" spans="2:5">
      <c r="B282">
        <v>601151</v>
      </c>
      <c r="C282" t="s">
        <v>408</v>
      </c>
      <c r="D282">
        <v>3</v>
      </c>
      <c r="E282" t="str">
        <f>IF(tbl_SalAccts[[#This Row],[Value]]=1,"Salary",IF(tbl_SalAccts[[#This Row],[Value]]=2,"Fringe",IF(tbl_SalAccts[[#This Row],[Value]]=3,"Other","")))</f>
        <v>Other</v>
      </c>
    </row>
    <row r="283" spans="2:5">
      <c r="B283">
        <v>601171</v>
      </c>
      <c r="C283" t="s">
        <v>409</v>
      </c>
      <c r="D283">
        <v>3</v>
      </c>
      <c r="E283" t="str">
        <f>IF(tbl_SalAccts[[#This Row],[Value]]=1,"Salary",IF(tbl_SalAccts[[#This Row],[Value]]=2,"Fringe",IF(tbl_SalAccts[[#This Row],[Value]]=3,"Other","")))</f>
        <v>Other</v>
      </c>
    </row>
    <row r="284" spans="2:5">
      <c r="B284">
        <v>601181</v>
      </c>
      <c r="C284" t="s">
        <v>410</v>
      </c>
      <c r="D284">
        <v>3</v>
      </c>
      <c r="E284" t="str">
        <f>IF(tbl_SalAccts[[#This Row],[Value]]=1,"Salary",IF(tbl_SalAccts[[#This Row],[Value]]=2,"Fringe",IF(tbl_SalAccts[[#This Row],[Value]]=3,"Other","")))</f>
        <v>Other</v>
      </c>
    </row>
    <row r="285" spans="2:5">
      <c r="B285">
        <v>601301</v>
      </c>
      <c r="C285" t="s">
        <v>411</v>
      </c>
      <c r="D285">
        <v>3</v>
      </c>
      <c r="E285" t="str">
        <f>IF(tbl_SalAccts[[#This Row],[Value]]=1,"Salary",IF(tbl_SalAccts[[#This Row],[Value]]=2,"Fringe",IF(tbl_SalAccts[[#This Row],[Value]]=3,"Other","")))</f>
        <v>Other</v>
      </c>
    </row>
    <row r="286" spans="2:5">
      <c r="B286">
        <v>601302</v>
      </c>
      <c r="C286" t="s">
        <v>412</v>
      </c>
      <c r="D286">
        <v>3</v>
      </c>
      <c r="E286" t="str">
        <f>IF(tbl_SalAccts[[#This Row],[Value]]=1,"Salary",IF(tbl_SalAccts[[#This Row],[Value]]=2,"Fringe",IF(tbl_SalAccts[[#This Row],[Value]]=3,"Other","")))</f>
        <v>Other</v>
      </c>
    </row>
    <row r="287" spans="2:5">
      <c r="B287">
        <v>601303</v>
      </c>
      <c r="C287" t="s">
        <v>413</v>
      </c>
      <c r="D287">
        <v>3</v>
      </c>
      <c r="E287" t="str">
        <f>IF(tbl_SalAccts[[#This Row],[Value]]=1,"Salary",IF(tbl_SalAccts[[#This Row],[Value]]=2,"Fringe",IF(tbl_SalAccts[[#This Row],[Value]]=3,"Other","")))</f>
        <v>Other</v>
      </c>
    </row>
    <row r="288" spans="2:5">
      <c r="B288">
        <v>601304</v>
      </c>
      <c r="C288" t="s">
        <v>414</v>
      </c>
      <c r="D288">
        <v>3</v>
      </c>
      <c r="E288" t="str">
        <f>IF(tbl_SalAccts[[#This Row],[Value]]=1,"Salary",IF(tbl_SalAccts[[#This Row],[Value]]=2,"Fringe",IF(tbl_SalAccts[[#This Row],[Value]]=3,"Other","")))</f>
        <v>Other</v>
      </c>
    </row>
    <row r="289" spans="2:5">
      <c r="B289">
        <v>601305</v>
      </c>
      <c r="C289" t="s">
        <v>415</v>
      </c>
      <c r="D289">
        <v>3</v>
      </c>
      <c r="E289" t="str">
        <f>IF(tbl_SalAccts[[#This Row],[Value]]=1,"Salary",IF(tbl_SalAccts[[#This Row],[Value]]=2,"Fringe",IF(tbl_SalAccts[[#This Row],[Value]]=3,"Other","")))</f>
        <v>Other</v>
      </c>
    </row>
    <row r="290" spans="2:5">
      <c r="B290">
        <v>601306</v>
      </c>
      <c r="C290" t="s">
        <v>416</v>
      </c>
      <c r="D290">
        <v>3</v>
      </c>
      <c r="E290" t="str">
        <f>IF(tbl_SalAccts[[#This Row],[Value]]=1,"Salary",IF(tbl_SalAccts[[#This Row],[Value]]=2,"Fringe",IF(tbl_SalAccts[[#This Row],[Value]]=3,"Other","")))</f>
        <v>Other</v>
      </c>
    </row>
    <row r="291" spans="2:5">
      <c r="B291">
        <v>601308</v>
      </c>
      <c r="C291" t="s">
        <v>417</v>
      </c>
      <c r="D291">
        <v>3</v>
      </c>
      <c r="E291" t="str">
        <f>IF(tbl_SalAccts[[#This Row],[Value]]=1,"Salary",IF(tbl_SalAccts[[#This Row],[Value]]=2,"Fringe",IF(tbl_SalAccts[[#This Row],[Value]]=3,"Other","")))</f>
        <v>Other</v>
      </c>
    </row>
    <row r="292" spans="2:5">
      <c r="B292">
        <v>601309</v>
      </c>
      <c r="C292" t="s">
        <v>418</v>
      </c>
      <c r="D292">
        <v>3</v>
      </c>
      <c r="E292" t="str">
        <f>IF(tbl_SalAccts[[#This Row],[Value]]=1,"Salary",IF(tbl_SalAccts[[#This Row],[Value]]=2,"Fringe",IF(tbl_SalAccts[[#This Row],[Value]]=3,"Other","")))</f>
        <v>Other</v>
      </c>
    </row>
    <row r="293" spans="2:5">
      <c r="B293">
        <v>601310</v>
      </c>
      <c r="C293" t="s">
        <v>419</v>
      </c>
      <c r="D293">
        <v>3</v>
      </c>
      <c r="E293" t="str">
        <f>IF(tbl_SalAccts[[#This Row],[Value]]=1,"Salary",IF(tbl_SalAccts[[#This Row],[Value]]=2,"Fringe",IF(tbl_SalAccts[[#This Row],[Value]]=3,"Other","")))</f>
        <v>Other</v>
      </c>
    </row>
    <row r="294" spans="2:5">
      <c r="B294">
        <v>601314</v>
      </c>
      <c r="C294" t="s">
        <v>420</v>
      </c>
      <c r="D294">
        <v>3</v>
      </c>
      <c r="E294" t="str">
        <f>IF(tbl_SalAccts[[#This Row],[Value]]=1,"Salary",IF(tbl_SalAccts[[#This Row],[Value]]=2,"Fringe",IF(tbl_SalAccts[[#This Row],[Value]]=3,"Other","")))</f>
        <v>Other</v>
      </c>
    </row>
    <row r="295" spans="2:5">
      <c r="B295">
        <v>601315</v>
      </c>
      <c r="C295" t="s">
        <v>421</v>
      </c>
      <c r="D295">
        <v>3</v>
      </c>
      <c r="E295" t="str">
        <f>IF(tbl_SalAccts[[#This Row],[Value]]=1,"Salary",IF(tbl_SalAccts[[#This Row],[Value]]=2,"Fringe",IF(tbl_SalAccts[[#This Row],[Value]]=3,"Other","")))</f>
        <v>Other</v>
      </c>
    </row>
    <row r="296" spans="2:5">
      <c r="B296">
        <v>603001</v>
      </c>
      <c r="C296" t="s">
        <v>422</v>
      </c>
      <c r="D296">
        <v>3</v>
      </c>
      <c r="E296" t="str">
        <f>IF(tbl_SalAccts[[#This Row],[Value]]=1,"Salary",IF(tbl_SalAccts[[#This Row],[Value]]=2,"Fringe",IF(tbl_SalAccts[[#This Row],[Value]]=3,"Other","")))</f>
        <v>Other</v>
      </c>
    </row>
    <row r="297" spans="2:5">
      <c r="B297">
        <v>603002</v>
      </c>
      <c r="C297" t="s">
        <v>423</v>
      </c>
      <c r="D297">
        <v>3</v>
      </c>
      <c r="E297" t="str">
        <f>IF(tbl_SalAccts[[#This Row],[Value]]=1,"Salary",IF(tbl_SalAccts[[#This Row],[Value]]=2,"Fringe",IF(tbl_SalAccts[[#This Row],[Value]]=3,"Other","")))</f>
        <v>Other</v>
      </c>
    </row>
    <row r="298" spans="2:5">
      <c r="B298">
        <v>603403</v>
      </c>
      <c r="C298" t="s">
        <v>424</v>
      </c>
      <c r="D298">
        <v>3</v>
      </c>
      <c r="E298" t="str">
        <f>IF(tbl_SalAccts[[#This Row],[Value]]=1,"Salary",IF(tbl_SalAccts[[#This Row],[Value]]=2,"Fringe",IF(tbl_SalAccts[[#This Row],[Value]]=3,"Other","")))</f>
        <v>Other</v>
      </c>
    </row>
    <row r="299" spans="2:5">
      <c r="B299">
        <v>603404</v>
      </c>
      <c r="C299" t="s">
        <v>425</v>
      </c>
      <c r="D299">
        <v>3</v>
      </c>
      <c r="E299" t="str">
        <f>IF(tbl_SalAccts[[#This Row],[Value]]=1,"Salary",IF(tbl_SalAccts[[#This Row],[Value]]=2,"Fringe",IF(tbl_SalAccts[[#This Row],[Value]]=3,"Other","")))</f>
        <v>Other</v>
      </c>
    </row>
    <row r="300" spans="2:5">
      <c r="B300">
        <v>603405</v>
      </c>
      <c r="C300" t="s">
        <v>426</v>
      </c>
      <c r="D300">
        <v>3</v>
      </c>
      <c r="E300" t="str">
        <f>IF(tbl_SalAccts[[#This Row],[Value]]=1,"Salary",IF(tbl_SalAccts[[#This Row],[Value]]=2,"Fringe",IF(tbl_SalAccts[[#This Row],[Value]]=3,"Other","")))</f>
        <v>Other</v>
      </c>
    </row>
    <row r="301" spans="2:5">
      <c r="B301">
        <v>603406</v>
      </c>
      <c r="C301" t="s">
        <v>427</v>
      </c>
      <c r="D301">
        <v>3</v>
      </c>
      <c r="E301" t="str">
        <f>IF(tbl_SalAccts[[#This Row],[Value]]=1,"Salary",IF(tbl_SalAccts[[#This Row],[Value]]=2,"Fringe",IF(tbl_SalAccts[[#This Row],[Value]]=3,"Other","")))</f>
        <v>Other</v>
      </c>
    </row>
    <row r="302" spans="2:5">
      <c r="B302">
        <v>603407</v>
      </c>
      <c r="C302" t="s">
        <v>428</v>
      </c>
      <c r="D302">
        <v>3</v>
      </c>
      <c r="E302" t="str">
        <f>IF(tbl_SalAccts[[#This Row],[Value]]=1,"Salary",IF(tbl_SalAccts[[#This Row],[Value]]=2,"Fringe",IF(tbl_SalAccts[[#This Row],[Value]]=3,"Other","")))</f>
        <v>Other</v>
      </c>
    </row>
    <row r="303" spans="2:5">
      <c r="B303">
        <v>603408</v>
      </c>
      <c r="C303" t="s">
        <v>429</v>
      </c>
      <c r="D303">
        <v>3</v>
      </c>
      <c r="E303" t="str">
        <f>IF(tbl_SalAccts[[#This Row],[Value]]=1,"Salary",IF(tbl_SalAccts[[#This Row],[Value]]=2,"Fringe",IF(tbl_SalAccts[[#This Row],[Value]]=3,"Other","")))</f>
        <v>Other</v>
      </c>
    </row>
    <row r="304" spans="2:5">
      <c r="B304">
        <v>603650</v>
      </c>
      <c r="C304" t="s">
        <v>430</v>
      </c>
      <c r="D304">
        <v>3</v>
      </c>
      <c r="E304" t="str">
        <f>IF(tbl_SalAccts[[#This Row],[Value]]=1,"Salary",IF(tbl_SalAccts[[#This Row],[Value]]=2,"Fringe",IF(tbl_SalAccts[[#This Row],[Value]]=3,"Other","")))</f>
        <v>Other</v>
      </c>
    </row>
    <row r="305" spans="2:5">
      <c r="B305">
        <v>603701</v>
      </c>
      <c r="C305" t="s">
        <v>431</v>
      </c>
      <c r="D305">
        <v>3</v>
      </c>
      <c r="E305" t="str">
        <f>IF(tbl_SalAccts[[#This Row],[Value]]=1,"Salary",IF(tbl_SalAccts[[#This Row],[Value]]=2,"Fringe",IF(tbl_SalAccts[[#This Row],[Value]]=3,"Other","")))</f>
        <v>Other</v>
      </c>
    </row>
    <row r="306" spans="2:5">
      <c r="B306">
        <v>610001</v>
      </c>
      <c r="C306" t="s">
        <v>432</v>
      </c>
      <c r="D306">
        <v>3</v>
      </c>
      <c r="E306" t="str">
        <f>IF(tbl_SalAccts[[#This Row],[Value]]=1,"Salary",IF(tbl_SalAccts[[#This Row],[Value]]=2,"Fringe",IF(tbl_SalAccts[[#This Row],[Value]]=3,"Other","")))</f>
        <v>Other</v>
      </c>
    </row>
    <row r="307" spans="2:5">
      <c r="B307">
        <v>610002</v>
      </c>
      <c r="C307" t="s">
        <v>433</v>
      </c>
      <c r="D307">
        <v>3</v>
      </c>
      <c r="E307" t="str">
        <f>IF(tbl_SalAccts[[#This Row],[Value]]=1,"Salary",IF(tbl_SalAccts[[#This Row],[Value]]=2,"Fringe",IF(tbl_SalAccts[[#This Row],[Value]]=3,"Other","")))</f>
        <v>Other</v>
      </c>
    </row>
    <row r="308" spans="2:5">
      <c r="B308">
        <v>610003</v>
      </c>
      <c r="C308" t="s">
        <v>434</v>
      </c>
      <c r="D308">
        <v>3</v>
      </c>
      <c r="E308" t="str">
        <f>IF(tbl_SalAccts[[#This Row],[Value]]=1,"Salary",IF(tbl_SalAccts[[#This Row],[Value]]=2,"Fringe",IF(tbl_SalAccts[[#This Row],[Value]]=3,"Other","")))</f>
        <v>Other</v>
      </c>
    </row>
    <row r="309" spans="2:5">
      <c r="B309">
        <v>610004</v>
      </c>
      <c r="C309" t="s">
        <v>435</v>
      </c>
      <c r="D309">
        <v>3</v>
      </c>
      <c r="E309" t="str">
        <f>IF(tbl_SalAccts[[#This Row],[Value]]=1,"Salary",IF(tbl_SalAccts[[#This Row],[Value]]=2,"Fringe",IF(tbl_SalAccts[[#This Row],[Value]]=3,"Other","")))</f>
        <v>Other</v>
      </c>
    </row>
    <row r="310" spans="2:5">
      <c r="B310">
        <v>610005</v>
      </c>
      <c r="C310" t="s">
        <v>436</v>
      </c>
      <c r="D310">
        <v>3</v>
      </c>
      <c r="E310" t="str">
        <f>IF(tbl_SalAccts[[#This Row],[Value]]=1,"Salary",IF(tbl_SalAccts[[#This Row],[Value]]=2,"Fringe",IF(tbl_SalAccts[[#This Row],[Value]]=3,"Other","")))</f>
        <v>Other</v>
      </c>
    </row>
    <row r="311" spans="2:5">
      <c r="B311">
        <v>610007</v>
      </c>
      <c r="C311" t="s">
        <v>437</v>
      </c>
      <c r="D311">
        <v>3</v>
      </c>
      <c r="E311" t="str">
        <f>IF(tbl_SalAccts[[#This Row],[Value]]=1,"Salary",IF(tbl_SalAccts[[#This Row],[Value]]=2,"Fringe",IF(tbl_SalAccts[[#This Row],[Value]]=3,"Other","")))</f>
        <v>Other</v>
      </c>
    </row>
    <row r="312" spans="2:5">
      <c r="B312">
        <v>610008</v>
      </c>
      <c r="C312" t="s">
        <v>438</v>
      </c>
      <c r="D312">
        <v>3</v>
      </c>
      <c r="E312" t="str">
        <f>IF(tbl_SalAccts[[#This Row],[Value]]=1,"Salary",IF(tbl_SalAccts[[#This Row],[Value]]=2,"Fringe",IF(tbl_SalAccts[[#This Row],[Value]]=3,"Other","")))</f>
        <v>Other</v>
      </c>
    </row>
    <row r="313" spans="2:5">
      <c r="B313">
        <v>610009</v>
      </c>
      <c r="C313" t="s">
        <v>439</v>
      </c>
      <c r="D313">
        <v>3</v>
      </c>
      <c r="E313" t="str">
        <f>IF(tbl_SalAccts[[#This Row],[Value]]=1,"Salary",IF(tbl_SalAccts[[#This Row],[Value]]=2,"Fringe",IF(tbl_SalAccts[[#This Row],[Value]]=3,"Other","")))</f>
        <v>Other</v>
      </c>
    </row>
    <row r="314" spans="2:5">
      <c r="B314">
        <v>610010</v>
      </c>
      <c r="C314" t="s">
        <v>440</v>
      </c>
      <c r="D314">
        <v>3</v>
      </c>
      <c r="E314" t="str">
        <f>IF(tbl_SalAccts[[#This Row],[Value]]=1,"Salary",IF(tbl_SalAccts[[#This Row],[Value]]=2,"Fringe",IF(tbl_SalAccts[[#This Row],[Value]]=3,"Other","")))</f>
        <v>Other</v>
      </c>
    </row>
    <row r="315" spans="2:5">
      <c r="B315">
        <v>610011</v>
      </c>
      <c r="C315" t="s">
        <v>441</v>
      </c>
      <c r="D315">
        <v>3</v>
      </c>
      <c r="E315" t="str">
        <f>IF(tbl_SalAccts[[#This Row],[Value]]=1,"Salary",IF(tbl_SalAccts[[#This Row],[Value]]=2,"Fringe",IF(tbl_SalAccts[[#This Row],[Value]]=3,"Other","")))</f>
        <v>Other</v>
      </c>
    </row>
    <row r="316" spans="2:5">
      <c r="B316">
        <v>610012</v>
      </c>
      <c r="C316" t="s">
        <v>442</v>
      </c>
      <c r="D316">
        <v>3</v>
      </c>
      <c r="E316" t="str">
        <f>IF(tbl_SalAccts[[#This Row],[Value]]=1,"Salary",IF(tbl_SalAccts[[#This Row],[Value]]=2,"Fringe",IF(tbl_SalAccts[[#This Row],[Value]]=3,"Other","")))</f>
        <v>Other</v>
      </c>
    </row>
    <row r="317" spans="2:5">
      <c r="B317">
        <v>610013</v>
      </c>
      <c r="C317" t="s">
        <v>443</v>
      </c>
      <c r="D317">
        <v>3</v>
      </c>
      <c r="E317" t="str">
        <f>IF(tbl_SalAccts[[#This Row],[Value]]=1,"Salary",IF(tbl_SalAccts[[#This Row],[Value]]=2,"Fringe",IF(tbl_SalAccts[[#This Row],[Value]]=3,"Other","")))</f>
        <v>Other</v>
      </c>
    </row>
    <row r="318" spans="2:5">
      <c r="B318">
        <v>610014</v>
      </c>
      <c r="C318" t="s">
        <v>444</v>
      </c>
      <c r="D318">
        <v>3</v>
      </c>
      <c r="E318" t="str">
        <f>IF(tbl_SalAccts[[#This Row],[Value]]=1,"Salary",IF(tbl_SalAccts[[#This Row],[Value]]=2,"Fringe",IF(tbl_SalAccts[[#This Row],[Value]]=3,"Other","")))</f>
        <v>Other</v>
      </c>
    </row>
    <row r="319" spans="2:5">
      <c r="B319">
        <v>610015</v>
      </c>
      <c r="C319" t="s">
        <v>445</v>
      </c>
      <c r="D319">
        <v>3</v>
      </c>
      <c r="E319" t="str">
        <f>IF(tbl_SalAccts[[#This Row],[Value]]=1,"Salary",IF(tbl_SalAccts[[#This Row],[Value]]=2,"Fringe",IF(tbl_SalAccts[[#This Row],[Value]]=3,"Other","")))</f>
        <v>Other</v>
      </c>
    </row>
    <row r="320" spans="2:5">
      <c r="B320">
        <v>610016</v>
      </c>
      <c r="C320" t="s">
        <v>446</v>
      </c>
      <c r="D320">
        <v>3</v>
      </c>
      <c r="E320" t="str">
        <f>IF(tbl_SalAccts[[#This Row],[Value]]=1,"Salary",IF(tbl_SalAccts[[#This Row],[Value]]=2,"Fringe",IF(tbl_SalAccts[[#This Row],[Value]]=3,"Other","")))</f>
        <v>Other</v>
      </c>
    </row>
    <row r="321" spans="2:5">
      <c r="B321">
        <v>610017</v>
      </c>
      <c r="C321" t="s">
        <v>447</v>
      </c>
      <c r="D321">
        <v>3</v>
      </c>
      <c r="E321" t="str">
        <f>IF(tbl_SalAccts[[#This Row],[Value]]=1,"Salary",IF(tbl_SalAccts[[#This Row],[Value]]=2,"Fringe",IF(tbl_SalAccts[[#This Row],[Value]]=3,"Other","")))</f>
        <v>Other</v>
      </c>
    </row>
    <row r="322" spans="2:5">
      <c r="B322">
        <v>610021</v>
      </c>
      <c r="C322" t="s">
        <v>448</v>
      </c>
      <c r="D322">
        <v>3</v>
      </c>
      <c r="E322" t="str">
        <f>IF(tbl_SalAccts[[#This Row],[Value]]=1,"Salary",IF(tbl_SalAccts[[#This Row],[Value]]=2,"Fringe",IF(tbl_SalAccts[[#This Row],[Value]]=3,"Other","")))</f>
        <v>Other</v>
      </c>
    </row>
    <row r="323" spans="2:5">
      <c r="B323">
        <v>610022</v>
      </c>
      <c r="C323" t="s">
        <v>449</v>
      </c>
      <c r="D323">
        <v>3</v>
      </c>
      <c r="E323" t="str">
        <f>IF(tbl_SalAccts[[#This Row],[Value]]=1,"Salary",IF(tbl_SalAccts[[#This Row],[Value]]=2,"Fringe",IF(tbl_SalAccts[[#This Row],[Value]]=3,"Other","")))</f>
        <v>Other</v>
      </c>
    </row>
    <row r="324" spans="2:5">
      <c r="B324">
        <v>610023</v>
      </c>
      <c r="C324" t="s">
        <v>450</v>
      </c>
      <c r="D324">
        <v>3</v>
      </c>
      <c r="E324" t="str">
        <f>IF(tbl_SalAccts[[#This Row],[Value]]=1,"Salary",IF(tbl_SalAccts[[#This Row],[Value]]=2,"Fringe",IF(tbl_SalAccts[[#This Row],[Value]]=3,"Other","")))</f>
        <v>Other</v>
      </c>
    </row>
    <row r="325" spans="2:5">
      <c r="B325">
        <v>610024</v>
      </c>
      <c r="C325" t="s">
        <v>450</v>
      </c>
      <c r="D325">
        <v>3</v>
      </c>
      <c r="E325" t="str">
        <f>IF(tbl_SalAccts[[#This Row],[Value]]=1,"Salary",IF(tbl_SalAccts[[#This Row],[Value]]=2,"Fringe",IF(tbl_SalAccts[[#This Row],[Value]]=3,"Other","")))</f>
        <v>Other</v>
      </c>
    </row>
    <row r="326" spans="2:5">
      <c r="B326">
        <v>610025</v>
      </c>
      <c r="C326" t="s">
        <v>451</v>
      </c>
      <c r="D326">
        <v>3</v>
      </c>
      <c r="E326" t="str">
        <f>IF(tbl_SalAccts[[#This Row],[Value]]=1,"Salary",IF(tbl_SalAccts[[#This Row],[Value]]=2,"Fringe",IF(tbl_SalAccts[[#This Row],[Value]]=3,"Other","")))</f>
        <v>Other</v>
      </c>
    </row>
    <row r="327" spans="2:5">
      <c r="B327">
        <v>610026</v>
      </c>
      <c r="C327" t="s">
        <v>452</v>
      </c>
      <c r="D327">
        <v>3</v>
      </c>
      <c r="E327" t="str">
        <f>IF(tbl_SalAccts[[#This Row],[Value]]=1,"Salary",IF(tbl_SalAccts[[#This Row],[Value]]=2,"Fringe",IF(tbl_SalAccts[[#This Row],[Value]]=3,"Other","")))</f>
        <v>Other</v>
      </c>
    </row>
    <row r="328" spans="2:5">
      <c r="B328">
        <v>610027</v>
      </c>
      <c r="C328" t="s">
        <v>453</v>
      </c>
      <c r="D328">
        <v>3</v>
      </c>
      <c r="E328" t="str">
        <f>IF(tbl_SalAccts[[#This Row],[Value]]=1,"Salary",IF(tbl_SalAccts[[#This Row],[Value]]=2,"Fringe",IF(tbl_SalAccts[[#This Row],[Value]]=3,"Other","")))</f>
        <v>Other</v>
      </c>
    </row>
    <row r="329" spans="2:5">
      <c r="B329">
        <v>610028</v>
      </c>
      <c r="C329" t="s">
        <v>454</v>
      </c>
      <c r="D329">
        <v>3</v>
      </c>
      <c r="E329" t="str">
        <f>IF(tbl_SalAccts[[#This Row],[Value]]=1,"Salary",IF(tbl_SalAccts[[#This Row],[Value]]=2,"Fringe",IF(tbl_SalAccts[[#This Row],[Value]]=3,"Other","")))</f>
        <v>Other</v>
      </c>
    </row>
    <row r="330" spans="2:5">
      <c r="B330">
        <v>610029</v>
      </c>
      <c r="C330" t="s">
        <v>455</v>
      </c>
      <c r="D330">
        <v>3</v>
      </c>
      <c r="E330" t="str">
        <f>IF(tbl_SalAccts[[#This Row],[Value]]=1,"Salary",IF(tbl_SalAccts[[#This Row],[Value]]=2,"Fringe",IF(tbl_SalAccts[[#This Row],[Value]]=3,"Other","")))</f>
        <v>Other</v>
      </c>
    </row>
    <row r="331" spans="2:5">
      <c r="B331">
        <v>610030</v>
      </c>
      <c r="C331" t="s">
        <v>456</v>
      </c>
      <c r="D331">
        <v>3</v>
      </c>
      <c r="E331" t="str">
        <f>IF(tbl_SalAccts[[#This Row],[Value]]=1,"Salary",IF(tbl_SalAccts[[#This Row],[Value]]=2,"Fringe",IF(tbl_SalAccts[[#This Row],[Value]]=3,"Other","")))</f>
        <v>Other</v>
      </c>
    </row>
    <row r="332" spans="2:5">
      <c r="B332">
        <v>610031</v>
      </c>
      <c r="C332" t="s">
        <v>457</v>
      </c>
      <c r="D332">
        <v>3</v>
      </c>
      <c r="E332" t="str">
        <f>IF(tbl_SalAccts[[#This Row],[Value]]=1,"Salary",IF(tbl_SalAccts[[#This Row],[Value]]=2,"Fringe",IF(tbl_SalAccts[[#This Row],[Value]]=3,"Other","")))</f>
        <v>Other</v>
      </c>
    </row>
    <row r="333" spans="2:5">
      <c r="B333">
        <v>610032</v>
      </c>
      <c r="C333" t="s">
        <v>458</v>
      </c>
      <c r="D333">
        <v>3</v>
      </c>
      <c r="E333" t="str">
        <f>IF(tbl_SalAccts[[#This Row],[Value]]=1,"Salary",IF(tbl_SalAccts[[#This Row],[Value]]=2,"Fringe",IF(tbl_SalAccts[[#This Row],[Value]]=3,"Other","")))</f>
        <v>Other</v>
      </c>
    </row>
    <row r="334" spans="2:5">
      <c r="B334">
        <v>610033</v>
      </c>
      <c r="C334" t="s">
        <v>459</v>
      </c>
      <c r="D334">
        <v>3</v>
      </c>
      <c r="E334" t="str">
        <f>IF(tbl_SalAccts[[#This Row],[Value]]=1,"Salary",IF(tbl_SalAccts[[#This Row],[Value]]=2,"Fringe",IF(tbl_SalAccts[[#This Row],[Value]]=3,"Other","")))</f>
        <v>Other</v>
      </c>
    </row>
    <row r="335" spans="2:5">
      <c r="B335">
        <v>610034</v>
      </c>
      <c r="C335" t="s">
        <v>460</v>
      </c>
      <c r="D335">
        <v>3</v>
      </c>
      <c r="E335" t="str">
        <f>IF(tbl_SalAccts[[#This Row],[Value]]=1,"Salary",IF(tbl_SalAccts[[#This Row],[Value]]=2,"Fringe",IF(tbl_SalAccts[[#This Row],[Value]]=3,"Other","")))</f>
        <v>Other</v>
      </c>
    </row>
    <row r="336" spans="2:5">
      <c r="B336">
        <v>610035</v>
      </c>
      <c r="C336" t="s">
        <v>461</v>
      </c>
      <c r="D336">
        <v>3</v>
      </c>
      <c r="E336" t="str">
        <f>IF(tbl_SalAccts[[#This Row],[Value]]=1,"Salary",IF(tbl_SalAccts[[#This Row],[Value]]=2,"Fringe",IF(tbl_SalAccts[[#This Row],[Value]]=3,"Other","")))</f>
        <v>Other</v>
      </c>
    </row>
    <row r="337" spans="2:5">
      <c r="B337">
        <v>610036</v>
      </c>
      <c r="C337" t="s">
        <v>462</v>
      </c>
      <c r="D337">
        <v>3</v>
      </c>
      <c r="E337" t="str">
        <f>IF(tbl_SalAccts[[#This Row],[Value]]=1,"Salary",IF(tbl_SalAccts[[#This Row],[Value]]=2,"Fringe",IF(tbl_SalAccts[[#This Row],[Value]]=3,"Other","")))</f>
        <v>Other</v>
      </c>
    </row>
    <row r="338" spans="2:5">
      <c r="B338">
        <v>610037</v>
      </c>
      <c r="C338" t="s">
        <v>463</v>
      </c>
      <c r="D338">
        <v>3</v>
      </c>
      <c r="E338" t="str">
        <f>IF(tbl_SalAccts[[#This Row],[Value]]=1,"Salary",IF(tbl_SalAccts[[#This Row],[Value]]=2,"Fringe",IF(tbl_SalAccts[[#This Row],[Value]]=3,"Other","")))</f>
        <v>Other</v>
      </c>
    </row>
    <row r="339" spans="2:5">
      <c r="B339">
        <v>610038</v>
      </c>
      <c r="C339" t="s">
        <v>464</v>
      </c>
      <c r="D339">
        <v>3</v>
      </c>
      <c r="E339" t="str">
        <f>IF(tbl_SalAccts[[#This Row],[Value]]=1,"Salary",IF(tbl_SalAccts[[#This Row],[Value]]=2,"Fringe",IF(tbl_SalAccts[[#This Row],[Value]]=3,"Other","")))</f>
        <v>Other</v>
      </c>
    </row>
    <row r="340" spans="2:5">
      <c r="B340">
        <v>610041</v>
      </c>
      <c r="C340" t="s">
        <v>465</v>
      </c>
      <c r="D340">
        <v>3</v>
      </c>
      <c r="E340" t="str">
        <f>IF(tbl_SalAccts[[#This Row],[Value]]=1,"Salary",IF(tbl_SalAccts[[#This Row],[Value]]=2,"Fringe",IF(tbl_SalAccts[[#This Row],[Value]]=3,"Other","")))</f>
        <v>Other</v>
      </c>
    </row>
    <row r="341" spans="2:5">
      <c r="B341">
        <v>610042</v>
      </c>
      <c r="C341" t="s">
        <v>466</v>
      </c>
      <c r="D341">
        <v>3</v>
      </c>
      <c r="E341" t="str">
        <f>IF(tbl_SalAccts[[#This Row],[Value]]=1,"Salary",IF(tbl_SalAccts[[#This Row],[Value]]=2,"Fringe",IF(tbl_SalAccts[[#This Row],[Value]]=3,"Other","")))</f>
        <v>Other</v>
      </c>
    </row>
    <row r="342" spans="2:5">
      <c r="B342">
        <v>610043</v>
      </c>
      <c r="C342" t="s">
        <v>467</v>
      </c>
      <c r="D342">
        <v>3</v>
      </c>
      <c r="E342" t="str">
        <f>IF(tbl_SalAccts[[#This Row],[Value]]=1,"Salary",IF(tbl_SalAccts[[#This Row],[Value]]=2,"Fringe",IF(tbl_SalAccts[[#This Row],[Value]]=3,"Other","")))</f>
        <v>Other</v>
      </c>
    </row>
    <row r="343" spans="2:5">
      <c r="B343">
        <v>610044</v>
      </c>
      <c r="C343" t="s">
        <v>468</v>
      </c>
      <c r="D343">
        <v>3</v>
      </c>
      <c r="E343" t="str">
        <f>IF(tbl_SalAccts[[#This Row],[Value]]=1,"Salary",IF(tbl_SalAccts[[#This Row],[Value]]=2,"Fringe",IF(tbl_SalAccts[[#This Row],[Value]]=3,"Other","")))</f>
        <v>Other</v>
      </c>
    </row>
    <row r="344" spans="2:5">
      <c r="B344">
        <v>610045</v>
      </c>
      <c r="C344" t="s">
        <v>469</v>
      </c>
      <c r="D344">
        <v>3</v>
      </c>
      <c r="E344" t="str">
        <f>IF(tbl_SalAccts[[#This Row],[Value]]=1,"Salary",IF(tbl_SalAccts[[#This Row],[Value]]=2,"Fringe",IF(tbl_SalAccts[[#This Row],[Value]]=3,"Other","")))</f>
        <v>Other</v>
      </c>
    </row>
    <row r="345" spans="2:5">
      <c r="B345">
        <v>610047</v>
      </c>
      <c r="C345" t="s">
        <v>470</v>
      </c>
      <c r="D345">
        <v>3</v>
      </c>
      <c r="E345" t="str">
        <f>IF(tbl_SalAccts[[#This Row],[Value]]=1,"Salary",IF(tbl_SalAccts[[#This Row],[Value]]=2,"Fringe",IF(tbl_SalAccts[[#This Row],[Value]]=3,"Other","")))</f>
        <v>Other</v>
      </c>
    </row>
    <row r="346" spans="2:5">
      <c r="B346">
        <v>610048</v>
      </c>
      <c r="C346" t="s">
        <v>471</v>
      </c>
      <c r="D346">
        <v>3</v>
      </c>
      <c r="E346" t="str">
        <f>IF(tbl_SalAccts[[#This Row],[Value]]=1,"Salary",IF(tbl_SalAccts[[#This Row],[Value]]=2,"Fringe",IF(tbl_SalAccts[[#This Row],[Value]]=3,"Other","")))</f>
        <v>Other</v>
      </c>
    </row>
    <row r="347" spans="2:5">
      <c r="B347">
        <v>610049</v>
      </c>
      <c r="C347" t="s">
        <v>472</v>
      </c>
      <c r="D347">
        <v>3</v>
      </c>
      <c r="E347" t="str">
        <f>IF(tbl_SalAccts[[#This Row],[Value]]=1,"Salary",IF(tbl_SalAccts[[#This Row],[Value]]=2,"Fringe",IF(tbl_SalAccts[[#This Row],[Value]]=3,"Other","")))</f>
        <v>Other</v>
      </c>
    </row>
    <row r="348" spans="2:5">
      <c r="B348">
        <v>610051</v>
      </c>
      <c r="C348" t="s">
        <v>473</v>
      </c>
      <c r="D348">
        <v>3</v>
      </c>
      <c r="E348" t="str">
        <f>IF(tbl_SalAccts[[#This Row],[Value]]=1,"Salary",IF(tbl_SalAccts[[#This Row],[Value]]=2,"Fringe",IF(tbl_SalAccts[[#This Row],[Value]]=3,"Other","")))</f>
        <v>Other</v>
      </c>
    </row>
    <row r="349" spans="2:5">
      <c r="B349">
        <v>610052</v>
      </c>
      <c r="C349" t="s">
        <v>474</v>
      </c>
      <c r="D349">
        <v>3</v>
      </c>
      <c r="E349" t="str">
        <f>IF(tbl_SalAccts[[#This Row],[Value]]=1,"Salary",IF(tbl_SalAccts[[#This Row],[Value]]=2,"Fringe",IF(tbl_SalAccts[[#This Row],[Value]]=3,"Other","")))</f>
        <v>Other</v>
      </c>
    </row>
    <row r="350" spans="2:5">
      <c r="B350">
        <v>610053</v>
      </c>
      <c r="C350" t="s">
        <v>475</v>
      </c>
      <c r="D350">
        <v>3</v>
      </c>
      <c r="E350" t="str">
        <f>IF(tbl_SalAccts[[#This Row],[Value]]=1,"Salary",IF(tbl_SalAccts[[#This Row],[Value]]=2,"Fringe",IF(tbl_SalAccts[[#This Row],[Value]]=3,"Other","")))</f>
        <v>Other</v>
      </c>
    </row>
    <row r="351" spans="2:5">
      <c r="B351">
        <v>610054</v>
      </c>
      <c r="C351" t="s">
        <v>476</v>
      </c>
      <c r="D351">
        <v>3</v>
      </c>
      <c r="E351" t="str">
        <f>IF(tbl_SalAccts[[#This Row],[Value]]=1,"Salary",IF(tbl_SalAccts[[#This Row],[Value]]=2,"Fringe",IF(tbl_SalAccts[[#This Row],[Value]]=3,"Other","")))</f>
        <v>Other</v>
      </c>
    </row>
    <row r="352" spans="2:5">
      <c r="B352">
        <v>610055</v>
      </c>
      <c r="C352" t="s">
        <v>477</v>
      </c>
      <c r="D352">
        <v>3</v>
      </c>
      <c r="E352" t="str">
        <f>IF(tbl_SalAccts[[#This Row],[Value]]=1,"Salary",IF(tbl_SalAccts[[#This Row],[Value]]=2,"Fringe",IF(tbl_SalAccts[[#This Row],[Value]]=3,"Other","")))</f>
        <v>Other</v>
      </c>
    </row>
    <row r="353" spans="2:5">
      <c r="B353">
        <v>610056</v>
      </c>
      <c r="C353" t="s">
        <v>478</v>
      </c>
      <c r="D353">
        <v>3</v>
      </c>
      <c r="E353" t="str">
        <f>IF(tbl_SalAccts[[#This Row],[Value]]=1,"Salary",IF(tbl_SalAccts[[#This Row],[Value]]=2,"Fringe",IF(tbl_SalAccts[[#This Row],[Value]]=3,"Other","")))</f>
        <v>Other</v>
      </c>
    </row>
    <row r="354" spans="2:5">
      <c r="B354">
        <v>610057</v>
      </c>
      <c r="C354" t="s">
        <v>479</v>
      </c>
      <c r="D354">
        <v>3</v>
      </c>
      <c r="E354" t="str">
        <f>IF(tbl_SalAccts[[#This Row],[Value]]=1,"Salary",IF(tbl_SalAccts[[#This Row],[Value]]=2,"Fringe",IF(tbl_SalAccts[[#This Row],[Value]]=3,"Other","")))</f>
        <v>Other</v>
      </c>
    </row>
    <row r="355" spans="2:5">
      <c r="B355">
        <v>610058</v>
      </c>
      <c r="C355" t="s">
        <v>480</v>
      </c>
      <c r="D355">
        <v>3</v>
      </c>
      <c r="E355" t="str">
        <f>IF(tbl_SalAccts[[#This Row],[Value]]=1,"Salary",IF(tbl_SalAccts[[#This Row],[Value]]=2,"Fringe",IF(tbl_SalAccts[[#This Row],[Value]]=3,"Other","")))</f>
        <v>Other</v>
      </c>
    </row>
    <row r="356" spans="2:5">
      <c r="B356">
        <v>610059</v>
      </c>
      <c r="C356" t="s">
        <v>481</v>
      </c>
      <c r="D356">
        <v>3</v>
      </c>
      <c r="E356" t="str">
        <f>IF(tbl_SalAccts[[#This Row],[Value]]=1,"Salary",IF(tbl_SalAccts[[#This Row],[Value]]=2,"Fringe",IF(tbl_SalAccts[[#This Row],[Value]]=3,"Other","")))</f>
        <v>Other</v>
      </c>
    </row>
    <row r="357" spans="2:5">
      <c r="B357">
        <v>610060</v>
      </c>
      <c r="C357" t="s">
        <v>482</v>
      </c>
      <c r="D357">
        <v>3</v>
      </c>
      <c r="E357" t="str">
        <f>IF(tbl_SalAccts[[#This Row],[Value]]=1,"Salary",IF(tbl_SalAccts[[#This Row],[Value]]=2,"Fringe",IF(tbl_SalAccts[[#This Row],[Value]]=3,"Other","")))</f>
        <v>Other</v>
      </c>
    </row>
    <row r="358" spans="2:5">
      <c r="B358">
        <v>610061</v>
      </c>
      <c r="C358" t="s">
        <v>483</v>
      </c>
      <c r="D358">
        <v>3</v>
      </c>
      <c r="E358" t="str">
        <f>IF(tbl_SalAccts[[#This Row],[Value]]=1,"Salary",IF(tbl_SalAccts[[#This Row],[Value]]=2,"Fringe",IF(tbl_SalAccts[[#This Row],[Value]]=3,"Other","")))</f>
        <v>Other</v>
      </c>
    </row>
    <row r="359" spans="2:5">
      <c r="B359">
        <v>610062</v>
      </c>
      <c r="C359" t="s">
        <v>484</v>
      </c>
      <c r="D359">
        <v>3</v>
      </c>
      <c r="E359" t="str">
        <f>IF(tbl_SalAccts[[#This Row],[Value]]=1,"Salary",IF(tbl_SalAccts[[#This Row],[Value]]=2,"Fringe",IF(tbl_SalAccts[[#This Row],[Value]]=3,"Other","")))</f>
        <v>Other</v>
      </c>
    </row>
    <row r="360" spans="2:5">
      <c r="B360">
        <v>610063</v>
      </c>
      <c r="C360" t="s">
        <v>485</v>
      </c>
      <c r="D360">
        <v>3</v>
      </c>
      <c r="E360" t="str">
        <f>IF(tbl_SalAccts[[#This Row],[Value]]=1,"Salary",IF(tbl_SalAccts[[#This Row],[Value]]=2,"Fringe",IF(tbl_SalAccts[[#This Row],[Value]]=3,"Other","")))</f>
        <v>Other</v>
      </c>
    </row>
    <row r="361" spans="2:5">
      <c r="B361">
        <v>610064</v>
      </c>
      <c r="C361" t="s">
        <v>486</v>
      </c>
      <c r="D361">
        <v>3</v>
      </c>
      <c r="E361" t="str">
        <f>IF(tbl_SalAccts[[#This Row],[Value]]=1,"Salary",IF(tbl_SalAccts[[#This Row],[Value]]=2,"Fringe",IF(tbl_SalAccts[[#This Row],[Value]]=3,"Other","")))</f>
        <v>Other</v>
      </c>
    </row>
    <row r="362" spans="2:5">
      <c r="B362">
        <v>610066</v>
      </c>
      <c r="C362" t="s">
        <v>487</v>
      </c>
      <c r="D362">
        <v>3</v>
      </c>
      <c r="E362" t="str">
        <f>IF(tbl_SalAccts[[#This Row],[Value]]=1,"Salary",IF(tbl_SalAccts[[#This Row],[Value]]=2,"Fringe",IF(tbl_SalAccts[[#This Row],[Value]]=3,"Other","")))</f>
        <v>Other</v>
      </c>
    </row>
    <row r="363" spans="2:5">
      <c r="B363">
        <v>610067</v>
      </c>
      <c r="C363" t="s">
        <v>488</v>
      </c>
      <c r="D363">
        <v>3</v>
      </c>
      <c r="E363" t="str">
        <f>IF(tbl_SalAccts[[#This Row],[Value]]=1,"Salary",IF(tbl_SalAccts[[#This Row],[Value]]=2,"Fringe",IF(tbl_SalAccts[[#This Row],[Value]]=3,"Other","")))</f>
        <v>Other</v>
      </c>
    </row>
    <row r="364" spans="2:5">
      <c r="B364">
        <v>610068</v>
      </c>
      <c r="C364" t="s">
        <v>489</v>
      </c>
      <c r="D364">
        <v>3</v>
      </c>
      <c r="E364" t="str">
        <f>IF(tbl_SalAccts[[#This Row],[Value]]=1,"Salary",IF(tbl_SalAccts[[#This Row],[Value]]=2,"Fringe",IF(tbl_SalAccts[[#This Row],[Value]]=3,"Other","")))</f>
        <v>Other</v>
      </c>
    </row>
    <row r="365" spans="2:5">
      <c r="B365">
        <v>610069</v>
      </c>
      <c r="C365" t="s">
        <v>490</v>
      </c>
      <c r="D365">
        <v>3</v>
      </c>
      <c r="E365" t="str">
        <f>IF(tbl_SalAccts[[#This Row],[Value]]=1,"Salary",IF(tbl_SalAccts[[#This Row],[Value]]=2,"Fringe",IF(tbl_SalAccts[[#This Row],[Value]]=3,"Other","")))</f>
        <v>Other</v>
      </c>
    </row>
    <row r="366" spans="2:5">
      <c r="B366">
        <v>610070</v>
      </c>
      <c r="C366" t="s">
        <v>491</v>
      </c>
      <c r="D366">
        <v>3</v>
      </c>
      <c r="E366" t="str">
        <f>IF(tbl_SalAccts[[#This Row],[Value]]=1,"Salary",IF(tbl_SalAccts[[#This Row],[Value]]=2,"Fringe",IF(tbl_SalAccts[[#This Row],[Value]]=3,"Other","")))</f>
        <v>Other</v>
      </c>
    </row>
    <row r="367" spans="2:5">
      <c r="B367">
        <v>610071</v>
      </c>
      <c r="C367" t="s">
        <v>492</v>
      </c>
      <c r="D367">
        <v>3</v>
      </c>
      <c r="E367" t="str">
        <f>IF(tbl_SalAccts[[#This Row],[Value]]=1,"Salary",IF(tbl_SalAccts[[#This Row],[Value]]=2,"Fringe",IF(tbl_SalAccts[[#This Row],[Value]]=3,"Other","")))</f>
        <v>Other</v>
      </c>
    </row>
    <row r="368" spans="2:5">
      <c r="B368">
        <v>610072</v>
      </c>
      <c r="C368" t="s">
        <v>493</v>
      </c>
      <c r="D368">
        <v>3</v>
      </c>
      <c r="E368" t="str">
        <f>IF(tbl_SalAccts[[#This Row],[Value]]=1,"Salary",IF(tbl_SalAccts[[#This Row],[Value]]=2,"Fringe",IF(tbl_SalAccts[[#This Row],[Value]]=3,"Other","")))</f>
        <v>Other</v>
      </c>
    </row>
    <row r="369" spans="2:5">
      <c r="B369">
        <v>610073</v>
      </c>
      <c r="C369" t="s">
        <v>494</v>
      </c>
      <c r="D369">
        <v>3</v>
      </c>
      <c r="E369" t="str">
        <f>IF(tbl_SalAccts[[#This Row],[Value]]=1,"Salary",IF(tbl_SalAccts[[#This Row],[Value]]=2,"Fringe",IF(tbl_SalAccts[[#This Row],[Value]]=3,"Other","")))</f>
        <v>Other</v>
      </c>
    </row>
    <row r="370" spans="2:5">
      <c r="B370">
        <v>610074</v>
      </c>
      <c r="C370" t="s">
        <v>495</v>
      </c>
      <c r="D370">
        <v>3</v>
      </c>
      <c r="E370" t="str">
        <f>IF(tbl_SalAccts[[#This Row],[Value]]=1,"Salary",IF(tbl_SalAccts[[#This Row],[Value]]=2,"Fringe",IF(tbl_SalAccts[[#This Row],[Value]]=3,"Other","")))</f>
        <v>Other</v>
      </c>
    </row>
    <row r="371" spans="2:5">
      <c r="B371">
        <v>610075</v>
      </c>
      <c r="C371" t="s">
        <v>496</v>
      </c>
      <c r="D371">
        <v>3</v>
      </c>
      <c r="E371" t="str">
        <f>IF(tbl_SalAccts[[#This Row],[Value]]=1,"Salary",IF(tbl_SalAccts[[#This Row],[Value]]=2,"Fringe",IF(tbl_SalAccts[[#This Row],[Value]]=3,"Other","")))</f>
        <v>Other</v>
      </c>
    </row>
    <row r="372" spans="2:5">
      <c r="B372">
        <v>610076</v>
      </c>
      <c r="C372" t="s">
        <v>497</v>
      </c>
      <c r="D372">
        <v>3</v>
      </c>
      <c r="E372" t="str">
        <f>IF(tbl_SalAccts[[#This Row],[Value]]=1,"Salary",IF(tbl_SalAccts[[#This Row],[Value]]=2,"Fringe",IF(tbl_SalAccts[[#This Row],[Value]]=3,"Other","")))</f>
        <v>Other</v>
      </c>
    </row>
    <row r="373" spans="2:5">
      <c r="B373">
        <v>610077</v>
      </c>
      <c r="C373" t="s">
        <v>498</v>
      </c>
      <c r="D373">
        <v>3</v>
      </c>
      <c r="E373" t="str">
        <f>IF(tbl_SalAccts[[#This Row],[Value]]=1,"Salary",IF(tbl_SalAccts[[#This Row],[Value]]=2,"Fringe",IF(tbl_SalAccts[[#This Row],[Value]]=3,"Other","")))</f>
        <v>Other</v>
      </c>
    </row>
    <row r="374" spans="2:5">
      <c r="B374">
        <v>610078</v>
      </c>
      <c r="C374" t="s">
        <v>499</v>
      </c>
      <c r="D374">
        <v>3</v>
      </c>
      <c r="E374" t="str">
        <f>IF(tbl_SalAccts[[#This Row],[Value]]=1,"Salary",IF(tbl_SalAccts[[#This Row],[Value]]=2,"Fringe",IF(tbl_SalAccts[[#This Row],[Value]]=3,"Other","")))</f>
        <v>Other</v>
      </c>
    </row>
    <row r="375" spans="2:5">
      <c r="B375">
        <v>610080</v>
      </c>
      <c r="C375" t="s">
        <v>500</v>
      </c>
      <c r="D375">
        <v>3</v>
      </c>
      <c r="E375" t="str">
        <f>IF(tbl_SalAccts[[#This Row],[Value]]=1,"Salary",IF(tbl_SalAccts[[#This Row],[Value]]=2,"Fringe",IF(tbl_SalAccts[[#This Row],[Value]]=3,"Other","")))</f>
        <v>Other</v>
      </c>
    </row>
    <row r="376" spans="2:5">
      <c r="B376">
        <v>610081</v>
      </c>
      <c r="C376" t="s">
        <v>501</v>
      </c>
      <c r="D376">
        <v>3</v>
      </c>
      <c r="E376" t="str">
        <f>IF(tbl_SalAccts[[#This Row],[Value]]=1,"Salary",IF(tbl_SalAccts[[#This Row],[Value]]=2,"Fringe",IF(tbl_SalAccts[[#This Row],[Value]]=3,"Other","")))</f>
        <v>Other</v>
      </c>
    </row>
    <row r="377" spans="2:5">
      <c r="B377">
        <v>610082</v>
      </c>
      <c r="C377" t="s">
        <v>502</v>
      </c>
      <c r="D377">
        <v>3</v>
      </c>
      <c r="E377" t="str">
        <f>IF(tbl_SalAccts[[#This Row],[Value]]=1,"Salary",IF(tbl_SalAccts[[#This Row],[Value]]=2,"Fringe",IF(tbl_SalAccts[[#This Row],[Value]]=3,"Other","")))</f>
        <v>Other</v>
      </c>
    </row>
    <row r="378" spans="2:5">
      <c r="B378">
        <v>610083</v>
      </c>
      <c r="C378" t="s">
        <v>503</v>
      </c>
      <c r="D378">
        <v>3</v>
      </c>
      <c r="E378" t="str">
        <f>IF(tbl_SalAccts[[#This Row],[Value]]=1,"Salary",IF(tbl_SalAccts[[#This Row],[Value]]=2,"Fringe",IF(tbl_SalAccts[[#This Row],[Value]]=3,"Other","")))</f>
        <v>Other</v>
      </c>
    </row>
    <row r="379" spans="2:5">
      <c r="B379">
        <v>610086</v>
      </c>
      <c r="C379" t="s">
        <v>504</v>
      </c>
      <c r="D379">
        <v>3</v>
      </c>
      <c r="E379" t="str">
        <f>IF(tbl_SalAccts[[#This Row],[Value]]=1,"Salary",IF(tbl_SalAccts[[#This Row],[Value]]=2,"Fringe",IF(tbl_SalAccts[[#This Row],[Value]]=3,"Other","")))</f>
        <v>Other</v>
      </c>
    </row>
    <row r="380" spans="2:5">
      <c r="B380">
        <v>610087</v>
      </c>
      <c r="C380" t="s">
        <v>505</v>
      </c>
      <c r="D380">
        <v>3</v>
      </c>
      <c r="E380" t="str">
        <f>IF(tbl_SalAccts[[#This Row],[Value]]=1,"Salary",IF(tbl_SalAccts[[#This Row],[Value]]=2,"Fringe",IF(tbl_SalAccts[[#This Row],[Value]]=3,"Other","")))</f>
        <v>Other</v>
      </c>
    </row>
    <row r="381" spans="2:5">
      <c r="B381">
        <v>610088</v>
      </c>
      <c r="C381" t="s">
        <v>506</v>
      </c>
      <c r="D381">
        <v>3</v>
      </c>
      <c r="E381" t="str">
        <f>IF(tbl_SalAccts[[#This Row],[Value]]=1,"Salary",IF(tbl_SalAccts[[#This Row],[Value]]=2,"Fringe",IF(tbl_SalAccts[[#This Row],[Value]]=3,"Other","")))</f>
        <v>Other</v>
      </c>
    </row>
    <row r="382" spans="2:5">
      <c r="B382">
        <v>610090</v>
      </c>
      <c r="C382" t="s">
        <v>507</v>
      </c>
      <c r="D382">
        <v>3</v>
      </c>
      <c r="E382" t="str">
        <f>IF(tbl_SalAccts[[#This Row],[Value]]=1,"Salary",IF(tbl_SalAccts[[#This Row],[Value]]=2,"Fringe",IF(tbl_SalAccts[[#This Row],[Value]]=3,"Other","")))</f>
        <v>Other</v>
      </c>
    </row>
    <row r="383" spans="2:5">
      <c r="B383">
        <v>610091</v>
      </c>
      <c r="C383" t="s">
        <v>508</v>
      </c>
      <c r="D383">
        <v>3</v>
      </c>
      <c r="E383" t="str">
        <f>IF(tbl_SalAccts[[#This Row],[Value]]=1,"Salary",IF(tbl_SalAccts[[#This Row],[Value]]=2,"Fringe",IF(tbl_SalAccts[[#This Row],[Value]]=3,"Other","")))</f>
        <v>Other</v>
      </c>
    </row>
    <row r="384" spans="2:5">
      <c r="B384">
        <v>610092</v>
      </c>
      <c r="C384" t="s">
        <v>509</v>
      </c>
      <c r="D384">
        <v>3</v>
      </c>
      <c r="E384" t="str">
        <f>IF(tbl_SalAccts[[#This Row],[Value]]=1,"Salary",IF(tbl_SalAccts[[#This Row],[Value]]=2,"Fringe",IF(tbl_SalAccts[[#This Row],[Value]]=3,"Other","")))</f>
        <v>Other</v>
      </c>
    </row>
    <row r="385" spans="2:5">
      <c r="B385">
        <v>610093</v>
      </c>
      <c r="C385" t="s">
        <v>510</v>
      </c>
      <c r="D385">
        <v>3</v>
      </c>
      <c r="E385" t="str">
        <f>IF(tbl_SalAccts[[#This Row],[Value]]=1,"Salary",IF(tbl_SalAccts[[#This Row],[Value]]=2,"Fringe",IF(tbl_SalAccts[[#This Row],[Value]]=3,"Other","")))</f>
        <v>Other</v>
      </c>
    </row>
    <row r="386" spans="2:5">
      <c r="B386">
        <v>610094</v>
      </c>
      <c r="C386" t="s">
        <v>511</v>
      </c>
      <c r="D386">
        <v>3</v>
      </c>
      <c r="E386" t="str">
        <f>IF(tbl_SalAccts[[#This Row],[Value]]=1,"Salary",IF(tbl_SalAccts[[#This Row],[Value]]=2,"Fringe",IF(tbl_SalAccts[[#This Row],[Value]]=3,"Other","")))</f>
        <v>Other</v>
      </c>
    </row>
    <row r="387" spans="2:5">
      <c r="B387">
        <v>610095</v>
      </c>
      <c r="C387" t="s">
        <v>512</v>
      </c>
      <c r="D387">
        <v>3</v>
      </c>
      <c r="E387" t="str">
        <f>IF(tbl_SalAccts[[#This Row],[Value]]=1,"Salary",IF(tbl_SalAccts[[#This Row],[Value]]=2,"Fringe",IF(tbl_SalAccts[[#This Row],[Value]]=3,"Other","")))</f>
        <v>Other</v>
      </c>
    </row>
    <row r="388" spans="2:5">
      <c r="B388">
        <v>610096</v>
      </c>
      <c r="C388" t="s">
        <v>513</v>
      </c>
      <c r="D388">
        <v>3</v>
      </c>
      <c r="E388" t="str">
        <f>IF(tbl_SalAccts[[#This Row],[Value]]=1,"Salary",IF(tbl_SalAccts[[#This Row],[Value]]=2,"Fringe",IF(tbl_SalAccts[[#This Row],[Value]]=3,"Other","")))</f>
        <v>Other</v>
      </c>
    </row>
    <row r="389" spans="2:5">
      <c r="B389">
        <v>610097</v>
      </c>
      <c r="C389" t="s">
        <v>514</v>
      </c>
      <c r="D389">
        <v>3</v>
      </c>
      <c r="E389" t="str">
        <f>IF(tbl_SalAccts[[#This Row],[Value]]=1,"Salary",IF(tbl_SalAccts[[#This Row],[Value]]=2,"Fringe",IF(tbl_SalAccts[[#This Row],[Value]]=3,"Other","")))</f>
        <v>Other</v>
      </c>
    </row>
    <row r="390" spans="2:5">
      <c r="B390">
        <v>610099</v>
      </c>
      <c r="C390" t="s">
        <v>515</v>
      </c>
      <c r="D390">
        <v>3</v>
      </c>
      <c r="E390" t="str">
        <f>IF(tbl_SalAccts[[#This Row],[Value]]=1,"Salary",IF(tbl_SalAccts[[#This Row],[Value]]=2,"Fringe",IF(tbl_SalAccts[[#This Row],[Value]]=3,"Other","")))</f>
        <v>Other</v>
      </c>
    </row>
    <row r="391" spans="2:5">
      <c r="B391">
        <v>610101</v>
      </c>
      <c r="C391" t="s">
        <v>516</v>
      </c>
      <c r="D391">
        <v>3</v>
      </c>
      <c r="E391" t="str">
        <f>IF(tbl_SalAccts[[#This Row],[Value]]=1,"Salary",IF(tbl_SalAccts[[#This Row],[Value]]=2,"Fringe",IF(tbl_SalAccts[[#This Row],[Value]]=3,"Other","")))</f>
        <v>Other</v>
      </c>
    </row>
    <row r="392" spans="2:5">
      <c r="B392">
        <v>610102</v>
      </c>
      <c r="C392" t="s">
        <v>517</v>
      </c>
      <c r="D392">
        <v>3</v>
      </c>
      <c r="E392" t="str">
        <f>IF(tbl_SalAccts[[#This Row],[Value]]=1,"Salary",IF(tbl_SalAccts[[#This Row],[Value]]=2,"Fringe",IF(tbl_SalAccts[[#This Row],[Value]]=3,"Other","")))</f>
        <v>Other</v>
      </c>
    </row>
    <row r="393" spans="2:5">
      <c r="B393">
        <v>610103</v>
      </c>
      <c r="C393" t="s">
        <v>518</v>
      </c>
      <c r="D393">
        <v>3</v>
      </c>
      <c r="E393" t="str">
        <f>IF(tbl_SalAccts[[#This Row],[Value]]=1,"Salary",IF(tbl_SalAccts[[#This Row],[Value]]=2,"Fringe",IF(tbl_SalAccts[[#This Row],[Value]]=3,"Other","")))</f>
        <v>Other</v>
      </c>
    </row>
    <row r="394" spans="2:5">
      <c r="B394">
        <v>610104</v>
      </c>
      <c r="C394" t="s">
        <v>519</v>
      </c>
      <c r="D394">
        <v>3</v>
      </c>
      <c r="E394" t="str">
        <f>IF(tbl_SalAccts[[#This Row],[Value]]=1,"Salary",IF(tbl_SalAccts[[#This Row],[Value]]=2,"Fringe",IF(tbl_SalAccts[[#This Row],[Value]]=3,"Other","")))</f>
        <v>Other</v>
      </c>
    </row>
    <row r="395" spans="2:5">
      <c r="B395">
        <v>610105</v>
      </c>
      <c r="C395" t="s">
        <v>520</v>
      </c>
      <c r="D395">
        <v>3</v>
      </c>
      <c r="E395" t="str">
        <f>IF(tbl_SalAccts[[#This Row],[Value]]=1,"Salary",IF(tbl_SalAccts[[#This Row],[Value]]=2,"Fringe",IF(tbl_SalAccts[[#This Row],[Value]]=3,"Other","")))</f>
        <v>Other</v>
      </c>
    </row>
    <row r="396" spans="2:5">
      <c r="B396">
        <v>610106</v>
      </c>
      <c r="C396" t="s">
        <v>521</v>
      </c>
      <c r="D396">
        <v>3</v>
      </c>
      <c r="E396" t="str">
        <f>IF(tbl_SalAccts[[#This Row],[Value]]=1,"Salary",IF(tbl_SalAccts[[#This Row],[Value]]=2,"Fringe",IF(tbl_SalAccts[[#This Row],[Value]]=3,"Other","")))</f>
        <v>Other</v>
      </c>
    </row>
    <row r="397" spans="2:5">
      <c r="B397">
        <v>610107</v>
      </c>
      <c r="C397" t="s">
        <v>522</v>
      </c>
      <c r="D397">
        <v>3</v>
      </c>
      <c r="E397" t="str">
        <f>IF(tbl_SalAccts[[#This Row],[Value]]=1,"Salary",IF(tbl_SalAccts[[#This Row],[Value]]=2,"Fringe",IF(tbl_SalAccts[[#This Row],[Value]]=3,"Other","")))</f>
        <v>Other</v>
      </c>
    </row>
    <row r="398" spans="2:5">
      <c r="B398">
        <v>610108</v>
      </c>
      <c r="C398" t="s">
        <v>523</v>
      </c>
      <c r="D398">
        <v>3</v>
      </c>
      <c r="E398" t="str">
        <f>IF(tbl_SalAccts[[#This Row],[Value]]=1,"Salary",IF(tbl_SalAccts[[#This Row],[Value]]=2,"Fringe",IF(tbl_SalAccts[[#This Row],[Value]]=3,"Other","")))</f>
        <v>Other</v>
      </c>
    </row>
    <row r="399" spans="2:5">
      <c r="B399">
        <v>610109</v>
      </c>
      <c r="C399" t="s">
        <v>524</v>
      </c>
      <c r="D399">
        <v>3</v>
      </c>
      <c r="E399" t="str">
        <f>IF(tbl_SalAccts[[#This Row],[Value]]=1,"Salary",IF(tbl_SalAccts[[#This Row],[Value]]=2,"Fringe",IF(tbl_SalAccts[[#This Row],[Value]]=3,"Other","")))</f>
        <v>Other</v>
      </c>
    </row>
    <row r="400" spans="2:5">
      <c r="B400">
        <v>610111</v>
      </c>
      <c r="C400" t="s">
        <v>525</v>
      </c>
      <c r="D400">
        <v>3</v>
      </c>
      <c r="E400" t="str">
        <f>IF(tbl_SalAccts[[#This Row],[Value]]=1,"Salary",IF(tbl_SalAccts[[#This Row],[Value]]=2,"Fringe",IF(tbl_SalAccts[[#This Row],[Value]]=3,"Other","")))</f>
        <v>Other</v>
      </c>
    </row>
    <row r="401" spans="2:5">
      <c r="B401">
        <v>610112</v>
      </c>
      <c r="C401" t="s">
        <v>526</v>
      </c>
      <c r="D401">
        <v>3</v>
      </c>
      <c r="E401" t="str">
        <f>IF(tbl_SalAccts[[#This Row],[Value]]=1,"Salary",IF(tbl_SalAccts[[#This Row],[Value]]=2,"Fringe",IF(tbl_SalAccts[[#This Row],[Value]]=3,"Other","")))</f>
        <v>Other</v>
      </c>
    </row>
    <row r="402" spans="2:5">
      <c r="B402">
        <v>610113</v>
      </c>
      <c r="C402" t="s">
        <v>527</v>
      </c>
      <c r="D402">
        <v>3</v>
      </c>
      <c r="E402" t="str">
        <f>IF(tbl_SalAccts[[#This Row],[Value]]=1,"Salary",IF(tbl_SalAccts[[#This Row],[Value]]=2,"Fringe",IF(tbl_SalAccts[[#This Row],[Value]]=3,"Other","")))</f>
        <v>Other</v>
      </c>
    </row>
    <row r="403" spans="2:5">
      <c r="B403">
        <v>610120</v>
      </c>
      <c r="C403" t="s">
        <v>528</v>
      </c>
      <c r="D403">
        <v>3</v>
      </c>
      <c r="E403" t="str">
        <f>IF(tbl_SalAccts[[#This Row],[Value]]=1,"Salary",IF(tbl_SalAccts[[#This Row],[Value]]=2,"Fringe",IF(tbl_SalAccts[[#This Row],[Value]]=3,"Other","")))</f>
        <v>Other</v>
      </c>
    </row>
    <row r="404" spans="2:5">
      <c r="B404">
        <v>610121</v>
      </c>
      <c r="C404" t="s">
        <v>529</v>
      </c>
      <c r="D404">
        <v>3</v>
      </c>
      <c r="E404" t="str">
        <f>IF(tbl_SalAccts[[#This Row],[Value]]=1,"Salary",IF(tbl_SalAccts[[#This Row],[Value]]=2,"Fringe",IF(tbl_SalAccts[[#This Row],[Value]]=3,"Other","")))</f>
        <v>Other</v>
      </c>
    </row>
    <row r="405" spans="2:5">
      <c r="B405">
        <v>610122</v>
      </c>
      <c r="C405" t="s">
        <v>530</v>
      </c>
      <c r="D405">
        <v>3</v>
      </c>
      <c r="E405" t="str">
        <f>IF(tbl_SalAccts[[#This Row],[Value]]=1,"Salary",IF(tbl_SalAccts[[#This Row],[Value]]=2,"Fringe",IF(tbl_SalAccts[[#This Row],[Value]]=3,"Other","")))</f>
        <v>Other</v>
      </c>
    </row>
    <row r="406" spans="2:5">
      <c r="B406">
        <v>610123</v>
      </c>
      <c r="C406" t="s">
        <v>531</v>
      </c>
      <c r="D406">
        <v>3</v>
      </c>
      <c r="E406" t="str">
        <f>IF(tbl_SalAccts[[#This Row],[Value]]=1,"Salary",IF(tbl_SalAccts[[#This Row],[Value]]=2,"Fringe",IF(tbl_SalAccts[[#This Row],[Value]]=3,"Other","")))</f>
        <v>Other</v>
      </c>
    </row>
    <row r="407" spans="2:5">
      <c r="B407">
        <v>610124</v>
      </c>
      <c r="C407" t="s">
        <v>532</v>
      </c>
      <c r="D407">
        <v>3</v>
      </c>
      <c r="E407" t="str">
        <f>IF(tbl_SalAccts[[#This Row],[Value]]=1,"Salary",IF(tbl_SalAccts[[#This Row],[Value]]=2,"Fringe",IF(tbl_SalAccts[[#This Row],[Value]]=3,"Other","")))</f>
        <v>Other</v>
      </c>
    </row>
    <row r="408" spans="2:5">
      <c r="B408">
        <v>610125</v>
      </c>
      <c r="C408" t="s">
        <v>533</v>
      </c>
      <c r="D408">
        <v>3</v>
      </c>
      <c r="E408" t="str">
        <f>IF(tbl_SalAccts[[#This Row],[Value]]=1,"Salary",IF(tbl_SalAccts[[#This Row],[Value]]=2,"Fringe",IF(tbl_SalAccts[[#This Row],[Value]]=3,"Other","")))</f>
        <v>Other</v>
      </c>
    </row>
    <row r="409" spans="2:5">
      <c r="B409">
        <v>610126</v>
      </c>
      <c r="C409" t="s">
        <v>534</v>
      </c>
      <c r="D409">
        <v>3</v>
      </c>
      <c r="E409" t="str">
        <f>IF(tbl_SalAccts[[#This Row],[Value]]=1,"Salary",IF(tbl_SalAccts[[#This Row],[Value]]=2,"Fringe",IF(tbl_SalAccts[[#This Row],[Value]]=3,"Other","")))</f>
        <v>Other</v>
      </c>
    </row>
    <row r="410" spans="2:5">
      <c r="B410">
        <v>610127</v>
      </c>
      <c r="C410" t="s">
        <v>535</v>
      </c>
      <c r="D410">
        <v>3</v>
      </c>
      <c r="E410" t="str">
        <f>IF(tbl_SalAccts[[#This Row],[Value]]=1,"Salary",IF(tbl_SalAccts[[#This Row],[Value]]=2,"Fringe",IF(tbl_SalAccts[[#This Row],[Value]]=3,"Other","")))</f>
        <v>Other</v>
      </c>
    </row>
    <row r="411" spans="2:5">
      <c r="B411">
        <v>610150</v>
      </c>
      <c r="C411" t="s">
        <v>536</v>
      </c>
      <c r="D411">
        <v>3</v>
      </c>
      <c r="E411" t="str">
        <f>IF(tbl_SalAccts[[#This Row],[Value]]=1,"Salary",IF(tbl_SalAccts[[#This Row],[Value]]=2,"Fringe",IF(tbl_SalAccts[[#This Row],[Value]]=3,"Other","")))</f>
        <v>Other</v>
      </c>
    </row>
    <row r="412" spans="2:5">
      <c r="B412">
        <v>610151</v>
      </c>
      <c r="C412" t="s">
        <v>537</v>
      </c>
      <c r="D412">
        <v>3</v>
      </c>
      <c r="E412" t="str">
        <f>IF(tbl_SalAccts[[#This Row],[Value]]=1,"Salary",IF(tbl_SalAccts[[#This Row],[Value]]=2,"Fringe",IF(tbl_SalAccts[[#This Row],[Value]]=3,"Other","")))</f>
        <v>Other</v>
      </c>
    </row>
    <row r="413" spans="2:5">
      <c r="B413">
        <v>610152</v>
      </c>
      <c r="C413" t="s">
        <v>538</v>
      </c>
      <c r="D413">
        <v>3</v>
      </c>
      <c r="E413" t="str">
        <f>IF(tbl_SalAccts[[#This Row],[Value]]=1,"Salary",IF(tbl_SalAccts[[#This Row],[Value]]=2,"Fringe",IF(tbl_SalAccts[[#This Row],[Value]]=3,"Other","")))</f>
        <v>Other</v>
      </c>
    </row>
    <row r="414" spans="2:5">
      <c r="B414">
        <v>610199</v>
      </c>
      <c r="C414" t="s">
        <v>539</v>
      </c>
      <c r="D414">
        <v>3</v>
      </c>
      <c r="E414" t="str">
        <f>IF(tbl_SalAccts[[#This Row],[Value]]=1,"Salary",IF(tbl_SalAccts[[#This Row],[Value]]=2,"Fringe",IF(tbl_SalAccts[[#This Row],[Value]]=3,"Other","")))</f>
        <v>Other</v>
      </c>
    </row>
    <row r="415" spans="2:5">
      <c r="B415">
        <v>612001</v>
      </c>
      <c r="C415" t="s">
        <v>540</v>
      </c>
      <c r="D415">
        <v>3</v>
      </c>
      <c r="E415" t="str">
        <f>IF(tbl_SalAccts[[#This Row],[Value]]=1,"Salary",IF(tbl_SalAccts[[#This Row],[Value]]=2,"Fringe",IF(tbl_SalAccts[[#This Row],[Value]]=3,"Other","")))</f>
        <v>Other</v>
      </c>
    </row>
    <row r="416" spans="2:5">
      <c r="B416">
        <v>612002</v>
      </c>
      <c r="C416" t="s">
        <v>541</v>
      </c>
      <c r="D416">
        <v>3</v>
      </c>
      <c r="E416" t="str">
        <f>IF(tbl_SalAccts[[#This Row],[Value]]=1,"Salary",IF(tbl_SalAccts[[#This Row],[Value]]=2,"Fringe",IF(tbl_SalAccts[[#This Row],[Value]]=3,"Other","")))</f>
        <v>Other</v>
      </c>
    </row>
    <row r="417" spans="2:5">
      <c r="B417">
        <v>612003</v>
      </c>
      <c r="C417" t="s">
        <v>542</v>
      </c>
      <c r="D417">
        <v>3</v>
      </c>
      <c r="E417" t="str">
        <f>IF(tbl_SalAccts[[#This Row],[Value]]=1,"Salary",IF(tbl_SalAccts[[#This Row],[Value]]=2,"Fringe",IF(tbl_SalAccts[[#This Row],[Value]]=3,"Other","")))</f>
        <v>Other</v>
      </c>
    </row>
    <row r="418" spans="2:5">
      <c r="B418">
        <v>612004</v>
      </c>
      <c r="C418" t="s">
        <v>543</v>
      </c>
      <c r="D418">
        <v>3</v>
      </c>
      <c r="E418" t="str">
        <f>IF(tbl_SalAccts[[#This Row],[Value]]=1,"Salary",IF(tbl_SalAccts[[#This Row],[Value]]=2,"Fringe",IF(tbl_SalAccts[[#This Row],[Value]]=3,"Other","")))</f>
        <v>Other</v>
      </c>
    </row>
    <row r="419" spans="2:5">
      <c r="B419">
        <v>612005</v>
      </c>
      <c r="C419" t="s">
        <v>544</v>
      </c>
      <c r="D419">
        <v>3</v>
      </c>
      <c r="E419" t="str">
        <f>IF(tbl_SalAccts[[#This Row],[Value]]=1,"Salary",IF(tbl_SalAccts[[#This Row],[Value]]=2,"Fringe",IF(tbl_SalAccts[[#This Row],[Value]]=3,"Other","")))</f>
        <v>Other</v>
      </c>
    </row>
    <row r="420" spans="2:5">
      <c r="B420">
        <v>612006</v>
      </c>
      <c r="C420" t="s">
        <v>545</v>
      </c>
      <c r="D420">
        <v>3</v>
      </c>
      <c r="E420" t="str">
        <f>IF(tbl_SalAccts[[#This Row],[Value]]=1,"Salary",IF(tbl_SalAccts[[#This Row],[Value]]=2,"Fringe",IF(tbl_SalAccts[[#This Row],[Value]]=3,"Other","")))</f>
        <v>Other</v>
      </c>
    </row>
    <row r="421" spans="2:5">
      <c r="B421">
        <v>612007</v>
      </c>
      <c r="C421" t="s">
        <v>546</v>
      </c>
      <c r="D421">
        <v>3</v>
      </c>
      <c r="E421" t="str">
        <f>IF(tbl_SalAccts[[#This Row],[Value]]=1,"Salary",IF(tbl_SalAccts[[#This Row],[Value]]=2,"Fringe",IF(tbl_SalAccts[[#This Row],[Value]]=3,"Other","")))</f>
        <v>Other</v>
      </c>
    </row>
    <row r="422" spans="2:5">
      <c r="B422">
        <v>612008</v>
      </c>
      <c r="C422" t="s">
        <v>547</v>
      </c>
      <c r="D422">
        <v>3</v>
      </c>
      <c r="E422" t="str">
        <f>IF(tbl_SalAccts[[#This Row],[Value]]=1,"Salary",IF(tbl_SalAccts[[#This Row],[Value]]=2,"Fringe",IF(tbl_SalAccts[[#This Row],[Value]]=3,"Other","")))</f>
        <v>Other</v>
      </c>
    </row>
    <row r="423" spans="2:5">
      <c r="B423">
        <v>612009</v>
      </c>
      <c r="C423" t="s">
        <v>548</v>
      </c>
      <c r="D423">
        <v>3</v>
      </c>
      <c r="E423" t="str">
        <f>IF(tbl_SalAccts[[#This Row],[Value]]=1,"Salary",IF(tbl_SalAccts[[#This Row],[Value]]=2,"Fringe",IF(tbl_SalAccts[[#This Row],[Value]]=3,"Other","")))</f>
        <v>Other</v>
      </c>
    </row>
    <row r="424" spans="2:5">
      <c r="B424">
        <v>612031</v>
      </c>
      <c r="C424" t="s">
        <v>549</v>
      </c>
      <c r="D424">
        <v>3</v>
      </c>
      <c r="E424" t="str">
        <f>IF(tbl_SalAccts[[#This Row],[Value]]=1,"Salary",IF(tbl_SalAccts[[#This Row],[Value]]=2,"Fringe",IF(tbl_SalAccts[[#This Row],[Value]]=3,"Other","")))</f>
        <v>Other</v>
      </c>
    </row>
    <row r="425" spans="2:5">
      <c r="B425">
        <v>612051</v>
      </c>
      <c r="C425" t="s">
        <v>550</v>
      </c>
      <c r="D425">
        <v>3</v>
      </c>
      <c r="E425" t="str">
        <f>IF(tbl_SalAccts[[#This Row],[Value]]=1,"Salary",IF(tbl_SalAccts[[#This Row],[Value]]=2,"Fringe",IF(tbl_SalAccts[[#This Row],[Value]]=3,"Other","")))</f>
        <v>Other</v>
      </c>
    </row>
    <row r="426" spans="2:5">
      <c r="B426">
        <v>612055</v>
      </c>
      <c r="C426" t="s">
        <v>551</v>
      </c>
      <c r="D426">
        <v>3</v>
      </c>
      <c r="E426" t="str">
        <f>IF(tbl_SalAccts[[#This Row],[Value]]=1,"Salary",IF(tbl_SalAccts[[#This Row],[Value]]=2,"Fringe",IF(tbl_SalAccts[[#This Row],[Value]]=3,"Other","")))</f>
        <v>Other</v>
      </c>
    </row>
    <row r="427" spans="2:5">
      <c r="B427">
        <v>612056</v>
      </c>
      <c r="C427" t="s">
        <v>552</v>
      </c>
      <c r="D427">
        <v>3</v>
      </c>
      <c r="E427" t="str">
        <f>IF(tbl_SalAccts[[#This Row],[Value]]=1,"Salary",IF(tbl_SalAccts[[#This Row],[Value]]=2,"Fringe",IF(tbl_SalAccts[[#This Row],[Value]]=3,"Other","")))</f>
        <v>Other</v>
      </c>
    </row>
    <row r="428" spans="2:5">
      <c r="B428">
        <v>612057</v>
      </c>
      <c r="C428" t="s">
        <v>553</v>
      </c>
      <c r="D428">
        <v>3</v>
      </c>
      <c r="E428" t="str">
        <f>IF(tbl_SalAccts[[#This Row],[Value]]=1,"Salary",IF(tbl_SalAccts[[#This Row],[Value]]=2,"Fringe",IF(tbl_SalAccts[[#This Row],[Value]]=3,"Other","")))</f>
        <v>Other</v>
      </c>
    </row>
    <row r="429" spans="2:5">
      <c r="B429">
        <v>612058</v>
      </c>
      <c r="C429" t="s">
        <v>554</v>
      </c>
      <c r="D429">
        <v>3</v>
      </c>
      <c r="E429" t="str">
        <f>IF(tbl_SalAccts[[#This Row],[Value]]=1,"Salary",IF(tbl_SalAccts[[#This Row],[Value]]=2,"Fringe",IF(tbl_SalAccts[[#This Row],[Value]]=3,"Other","")))</f>
        <v>Other</v>
      </c>
    </row>
    <row r="430" spans="2:5">
      <c r="B430">
        <v>612059</v>
      </c>
      <c r="C430" t="s">
        <v>555</v>
      </c>
      <c r="D430">
        <v>3</v>
      </c>
      <c r="E430" t="str">
        <f>IF(tbl_SalAccts[[#This Row],[Value]]=1,"Salary",IF(tbl_SalAccts[[#This Row],[Value]]=2,"Fringe",IF(tbl_SalAccts[[#This Row],[Value]]=3,"Other","")))</f>
        <v>Other</v>
      </c>
    </row>
    <row r="431" spans="2:5">
      <c r="B431">
        <v>612060</v>
      </c>
      <c r="C431" t="s">
        <v>556</v>
      </c>
      <c r="D431">
        <v>3</v>
      </c>
      <c r="E431" t="str">
        <f>IF(tbl_SalAccts[[#This Row],[Value]]=1,"Salary",IF(tbl_SalAccts[[#This Row],[Value]]=2,"Fringe",IF(tbl_SalAccts[[#This Row],[Value]]=3,"Other","")))</f>
        <v>Other</v>
      </c>
    </row>
    <row r="432" spans="2:5">
      <c r="B432">
        <v>620180</v>
      </c>
      <c r="C432" t="s">
        <v>557</v>
      </c>
      <c r="D432">
        <v>3</v>
      </c>
      <c r="E432" t="str">
        <f>IF(tbl_SalAccts[[#This Row],[Value]]=1,"Salary",IF(tbl_SalAccts[[#This Row],[Value]]=2,"Fringe",IF(tbl_SalAccts[[#This Row],[Value]]=3,"Other","")))</f>
        <v>Other</v>
      </c>
    </row>
    <row r="433" spans="2:5">
      <c r="B433">
        <v>620280</v>
      </c>
      <c r="C433" t="s">
        <v>558</v>
      </c>
      <c r="D433">
        <v>3</v>
      </c>
      <c r="E433" t="str">
        <f>IF(tbl_SalAccts[[#This Row],[Value]]=1,"Salary",IF(tbl_SalAccts[[#This Row],[Value]]=2,"Fringe",IF(tbl_SalAccts[[#This Row],[Value]]=3,"Other","")))</f>
        <v>Other</v>
      </c>
    </row>
    <row r="434" spans="2:5">
      <c r="B434">
        <v>620281</v>
      </c>
      <c r="C434" t="s">
        <v>559</v>
      </c>
      <c r="D434">
        <v>3</v>
      </c>
      <c r="E434" t="str">
        <f>IF(tbl_SalAccts[[#This Row],[Value]]=1,"Salary",IF(tbl_SalAccts[[#This Row],[Value]]=2,"Fringe",IF(tbl_SalAccts[[#This Row],[Value]]=3,"Other","")))</f>
        <v>Other</v>
      </c>
    </row>
    <row r="435" spans="2:5">
      <c r="B435">
        <v>620282</v>
      </c>
      <c r="C435" t="s">
        <v>560</v>
      </c>
      <c r="D435">
        <v>3</v>
      </c>
      <c r="E435" t="str">
        <f>IF(tbl_SalAccts[[#This Row],[Value]]=1,"Salary",IF(tbl_SalAccts[[#This Row],[Value]]=2,"Fringe",IF(tbl_SalAccts[[#This Row],[Value]]=3,"Other","")))</f>
        <v>Other</v>
      </c>
    </row>
    <row r="436" spans="2:5">
      <c r="B436">
        <v>620370</v>
      </c>
      <c r="C436" t="s">
        <v>561</v>
      </c>
      <c r="D436">
        <v>3</v>
      </c>
      <c r="E436" t="str">
        <f>IF(tbl_SalAccts[[#This Row],[Value]]=1,"Salary",IF(tbl_SalAccts[[#This Row],[Value]]=2,"Fringe",IF(tbl_SalAccts[[#This Row],[Value]]=3,"Other","")))</f>
        <v>Other</v>
      </c>
    </row>
    <row r="437" spans="2:5">
      <c r="B437">
        <v>620401</v>
      </c>
      <c r="C437" t="s">
        <v>562</v>
      </c>
      <c r="D437">
        <v>3</v>
      </c>
      <c r="E437" t="str">
        <f>IF(tbl_SalAccts[[#This Row],[Value]]=1,"Salary",IF(tbl_SalAccts[[#This Row],[Value]]=2,"Fringe",IF(tbl_SalAccts[[#This Row],[Value]]=3,"Other","")))</f>
        <v>Other</v>
      </c>
    </row>
    <row r="438" spans="2:5">
      <c r="B438">
        <v>620405</v>
      </c>
      <c r="C438" t="s">
        <v>563</v>
      </c>
      <c r="D438">
        <v>3</v>
      </c>
      <c r="E438" t="str">
        <f>IF(tbl_SalAccts[[#This Row],[Value]]=1,"Salary",IF(tbl_SalAccts[[#This Row],[Value]]=2,"Fringe",IF(tbl_SalAccts[[#This Row],[Value]]=3,"Other","")))</f>
        <v>Other</v>
      </c>
    </row>
    <row r="439" spans="2:5">
      <c r="B439">
        <v>621001</v>
      </c>
      <c r="C439" t="s">
        <v>564</v>
      </c>
      <c r="D439">
        <v>3</v>
      </c>
      <c r="E439" t="str">
        <f>IF(tbl_SalAccts[[#This Row],[Value]]=1,"Salary",IF(tbl_SalAccts[[#This Row],[Value]]=2,"Fringe",IF(tbl_SalAccts[[#This Row],[Value]]=3,"Other","")))</f>
        <v>Other</v>
      </c>
    </row>
    <row r="440" spans="2:5">
      <c r="B440">
        <v>621002</v>
      </c>
      <c r="C440" t="s">
        <v>565</v>
      </c>
      <c r="D440">
        <v>3</v>
      </c>
      <c r="E440" t="str">
        <f>IF(tbl_SalAccts[[#This Row],[Value]]=1,"Salary",IF(tbl_SalAccts[[#This Row],[Value]]=2,"Fringe",IF(tbl_SalAccts[[#This Row],[Value]]=3,"Other","")))</f>
        <v>Other</v>
      </c>
    </row>
    <row r="441" spans="2:5">
      <c r="B441">
        <v>621003</v>
      </c>
      <c r="C441" t="s">
        <v>566</v>
      </c>
      <c r="D441">
        <v>3</v>
      </c>
      <c r="E441" t="str">
        <f>IF(tbl_SalAccts[[#This Row],[Value]]=1,"Salary",IF(tbl_SalAccts[[#This Row],[Value]]=2,"Fringe",IF(tbl_SalAccts[[#This Row],[Value]]=3,"Other","")))</f>
        <v>Other</v>
      </c>
    </row>
    <row r="442" spans="2:5">
      <c r="B442">
        <v>621004</v>
      </c>
      <c r="C442" t="s">
        <v>567</v>
      </c>
      <c r="D442">
        <v>3</v>
      </c>
      <c r="E442" t="str">
        <f>IF(tbl_SalAccts[[#This Row],[Value]]=1,"Salary",IF(tbl_SalAccts[[#This Row],[Value]]=2,"Fringe",IF(tbl_SalAccts[[#This Row],[Value]]=3,"Other","")))</f>
        <v>Other</v>
      </c>
    </row>
    <row r="443" spans="2:5">
      <c r="B443">
        <v>621005</v>
      </c>
      <c r="C443" t="s">
        <v>568</v>
      </c>
      <c r="D443">
        <v>3</v>
      </c>
      <c r="E443" t="str">
        <f>IF(tbl_SalAccts[[#This Row],[Value]]=1,"Salary",IF(tbl_SalAccts[[#This Row],[Value]]=2,"Fringe",IF(tbl_SalAccts[[#This Row],[Value]]=3,"Other","")))</f>
        <v>Other</v>
      </c>
    </row>
    <row r="444" spans="2:5">
      <c r="B444">
        <v>621006</v>
      </c>
      <c r="C444" t="s">
        <v>569</v>
      </c>
      <c r="D444">
        <v>3</v>
      </c>
      <c r="E444" t="str">
        <f>IF(tbl_SalAccts[[#This Row],[Value]]=1,"Salary",IF(tbl_SalAccts[[#This Row],[Value]]=2,"Fringe",IF(tbl_SalAccts[[#This Row],[Value]]=3,"Other","")))</f>
        <v>Other</v>
      </c>
    </row>
    <row r="445" spans="2:5">
      <c r="B445">
        <v>621007</v>
      </c>
      <c r="C445" t="s">
        <v>570</v>
      </c>
      <c r="D445">
        <v>3</v>
      </c>
      <c r="E445" t="str">
        <f>IF(tbl_SalAccts[[#This Row],[Value]]=1,"Salary",IF(tbl_SalAccts[[#This Row],[Value]]=2,"Fringe",IF(tbl_SalAccts[[#This Row],[Value]]=3,"Other","")))</f>
        <v>Other</v>
      </c>
    </row>
    <row r="446" spans="2:5">
      <c r="B446">
        <v>621010</v>
      </c>
      <c r="C446" t="s">
        <v>571</v>
      </c>
      <c r="D446">
        <v>3</v>
      </c>
      <c r="E446" t="str">
        <f>IF(tbl_SalAccts[[#This Row],[Value]]=1,"Salary",IF(tbl_SalAccts[[#This Row],[Value]]=2,"Fringe",IF(tbl_SalAccts[[#This Row],[Value]]=3,"Other","")))</f>
        <v>Other</v>
      </c>
    </row>
    <row r="447" spans="2:5">
      <c r="B447">
        <v>621026</v>
      </c>
      <c r="C447" t="s">
        <v>572</v>
      </c>
      <c r="D447">
        <v>3</v>
      </c>
      <c r="E447" t="str">
        <f>IF(tbl_SalAccts[[#This Row],[Value]]=1,"Salary",IF(tbl_SalAccts[[#This Row],[Value]]=2,"Fringe",IF(tbl_SalAccts[[#This Row],[Value]]=3,"Other","")))</f>
        <v>Other</v>
      </c>
    </row>
    <row r="448" spans="2:5">
      <c r="B448">
        <v>621027</v>
      </c>
      <c r="C448" t="s">
        <v>573</v>
      </c>
      <c r="D448">
        <v>3</v>
      </c>
      <c r="E448" t="str">
        <f>IF(tbl_SalAccts[[#This Row],[Value]]=1,"Salary",IF(tbl_SalAccts[[#This Row],[Value]]=2,"Fringe",IF(tbl_SalAccts[[#This Row],[Value]]=3,"Other","")))</f>
        <v>Other</v>
      </c>
    </row>
    <row r="449" spans="2:5">
      <c r="B449">
        <v>621028</v>
      </c>
      <c r="C449" t="s">
        <v>574</v>
      </c>
      <c r="D449">
        <v>3</v>
      </c>
      <c r="E449" t="str">
        <f>IF(tbl_SalAccts[[#This Row],[Value]]=1,"Salary",IF(tbl_SalAccts[[#This Row],[Value]]=2,"Fringe",IF(tbl_SalAccts[[#This Row],[Value]]=3,"Other","")))</f>
        <v>Other</v>
      </c>
    </row>
    <row r="450" spans="2:5">
      <c r="B450">
        <v>621032</v>
      </c>
      <c r="C450" t="s">
        <v>575</v>
      </c>
      <c r="D450">
        <v>3</v>
      </c>
      <c r="E450" t="str">
        <f>IF(tbl_SalAccts[[#This Row],[Value]]=1,"Salary",IF(tbl_SalAccts[[#This Row],[Value]]=2,"Fringe",IF(tbl_SalAccts[[#This Row],[Value]]=3,"Other","")))</f>
        <v>Other</v>
      </c>
    </row>
    <row r="451" spans="2:5">
      <c r="B451">
        <v>621034</v>
      </c>
      <c r="C451" t="s">
        <v>576</v>
      </c>
      <c r="D451">
        <v>3</v>
      </c>
      <c r="E451" t="str">
        <f>IF(tbl_SalAccts[[#This Row],[Value]]=1,"Salary",IF(tbl_SalAccts[[#This Row],[Value]]=2,"Fringe",IF(tbl_SalAccts[[#This Row],[Value]]=3,"Other","")))</f>
        <v>Other</v>
      </c>
    </row>
    <row r="452" spans="2:5">
      <c r="B452">
        <v>621035</v>
      </c>
      <c r="C452" t="s">
        <v>577</v>
      </c>
      <c r="D452">
        <v>3</v>
      </c>
      <c r="E452" t="str">
        <f>IF(tbl_SalAccts[[#This Row],[Value]]=1,"Salary",IF(tbl_SalAccts[[#This Row],[Value]]=2,"Fringe",IF(tbl_SalAccts[[#This Row],[Value]]=3,"Other","")))</f>
        <v>Other</v>
      </c>
    </row>
    <row r="453" spans="2:5">
      <c r="B453">
        <v>621038</v>
      </c>
      <c r="C453" t="s">
        <v>578</v>
      </c>
      <c r="D453">
        <v>3</v>
      </c>
      <c r="E453" t="str">
        <f>IF(tbl_SalAccts[[#This Row],[Value]]=1,"Salary",IF(tbl_SalAccts[[#This Row],[Value]]=2,"Fringe",IF(tbl_SalAccts[[#This Row],[Value]]=3,"Other","")))</f>
        <v>Other</v>
      </c>
    </row>
    <row r="454" spans="2:5">
      <c r="B454">
        <v>621045</v>
      </c>
      <c r="C454" t="s">
        <v>579</v>
      </c>
      <c r="D454">
        <v>3</v>
      </c>
      <c r="E454" t="str">
        <f>IF(tbl_SalAccts[[#This Row],[Value]]=1,"Salary",IF(tbl_SalAccts[[#This Row],[Value]]=2,"Fringe",IF(tbl_SalAccts[[#This Row],[Value]]=3,"Other","")))</f>
        <v>Other</v>
      </c>
    </row>
    <row r="455" spans="2:5">
      <c r="B455">
        <v>621046</v>
      </c>
      <c r="C455" t="s">
        <v>580</v>
      </c>
      <c r="D455">
        <v>3</v>
      </c>
      <c r="E455" t="str">
        <f>IF(tbl_SalAccts[[#This Row],[Value]]=1,"Salary",IF(tbl_SalAccts[[#This Row],[Value]]=2,"Fringe",IF(tbl_SalAccts[[#This Row],[Value]]=3,"Other","")))</f>
        <v>Other</v>
      </c>
    </row>
    <row r="456" spans="2:5">
      <c r="B456">
        <v>621058</v>
      </c>
      <c r="C456" t="s">
        <v>581</v>
      </c>
      <c r="D456">
        <v>3</v>
      </c>
      <c r="E456" t="str">
        <f>IF(tbl_SalAccts[[#This Row],[Value]]=1,"Salary",IF(tbl_SalAccts[[#This Row],[Value]]=2,"Fringe",IF(tbl_SalAccts[[#This Row],[Value]]=3,"Other","")))</f>
        <v>Other</v>
      </c>
    </row>
    <row r="457" spans="2:5">
      <c r="B457">
        <v>621090</v>
      </c>
      <c r="C457" t="s">
        <v>582</v>
      </c>
      <c r="D457">
        <v>3</v>
      </c>
      <c r="E457" t="str">
        <f>IF(tbl_SalAccts[[#This Row],[Value]]=1,"Salary",IF(tbl_SalAccts[[#This Row],[Value]]=2,"Fringe",IF(tbl_SalAccts[[#This Row],[Value]]=3,"Other","")))</f>
        <v>Other</v>
      </c>
    </row>
    <row r="458" spans="2:5">
      <c r="B458">
        <v>622001</v>
      </c>
      <c r="C458" t="s">
        <v>583</v>
      </c>
      <c r="D458">
        <v>3</v>
      </c>
      <c r="E458" t="str">
        <f>IF(tbl_SalAccts[[#This Row],[Value]]=1,"Salary",IF(tbl_SalAccts[[#This Row],[Value]]=2,"Fringe",IF(tbl_SalAccts[[#This Row],[Value]]=3,"Other","")))</f>
        <v>Other</v>
      </c>
    </row>
    <row r="459" spans="2:5">
      <c r="B459">
        <v>622002</v>
      </c>
      <c r="C459" t="s">
        <v>584</v>
      </c>
      <c r="D459">
        <v>3</v>
      </c>
      <c r="E459" t="str">
        <f>IF(tbl_SalAccts[[#This Row],[Value]]=1,"Salary",IF(tbl_SalAccts[[#This Row],[Value]]=2,"Fringe",IF(tbl_SalAccts[[#This Row],[Value]]=3,"Other","")))</f>
        <v>Other</v>
      </c>
    </row>
    <row r="460" spans="2:5">
      <c r="B460">
        <v>622010</v>
      </c>
      <c r="C460" t="s">
        <v>585</v>
      </c>
      <c r="D460">
        <v>3</v>
      </c>
      <c r="E460" t="str">
        <f>IF(tbl_SalAccts[[#This Row],[Value]]=1,"Salary",IF(tbl_SalAccts[[#This Row],[Value]]=2,"Fringe",IF(tbl_SalAccts[[#This Row],[Value]]=3,"Other","")))</f>
        <v>Other</v>
      </c>
    </row>
    <row r="461" spans="2:5">
      <c r="B461">
        <v>622011</v>
      </c>
      <c r="C461" t="s">
        <v>586</v>
      </c>
      <c r="D461">
        <v>3</v>
      </c>
      <c r="E461" t="str">
        <f>IF(tbl_SalAccts[[#This Row],[Value]]=1,"Salary",IF(tbl_SalAccts[[#This Row],[Value]]=2,"Fringe",IF(tbl_SalAccts[[#This Row],[Value]]=3,"Other","")))</f>
        <v>Other</v>
      </c>
    </row>
    <row r="462" spans="2:5">
      <c r="B462">
        <v>622012</v>
      </c>
      <c r="C462" t="s">
        <v>587</v>
      </c>
      <c r="D462">
        <v>3</v>
      </c>
      <c r="E462" t="str">
        <f>IF(tbl_SalAccts[[#This Row],[Value]]=1,"Salary",IF(tbl_SalAccts[[#This Row],[Value]]=2,"Fringe",IF(tbl_SalAccts[[#This Row],[Value]]=3,"Other","")))</f>
        <v>Other</v>
      </c>
    </row>
    <row r="463" spans="2:5">
      <c r="B463">
        <v>622013</v>
      </c>
      <c r="C463" t="s">
        <v>588</v>
      </c>
      <c r="D463">
        <v>3</v>
      </c>
      <c r="E463" t="str">
        <f>IF(tbl_SalAccts[[#This Row],[Value]]=1,"Salary",IF(tbl_SalAccts[[#This Row],[Value]]=2,"Fringe",IF(tbl_SalAccts[[#This Row],[Value]]=3,"Other","")))</f>
        <v>Other</v>
      </c>
    </row>
    <row r="464" spans="2:5">
      <c r="B464">
        <v>622014</v>
      </c>
      <c r="C464" t="s">
        <v>589</v>
      </c>
      <c r="D464">
        <v>3</v>
      </c>
      <c r="E464" t="str">
        <f>IF(tbl_SalAccts[[#This Row],[Value]]=1,"Salary",IF(tbl_SalAccts[[#This Row],[Value]]=2,"Fringe",IF(tbl_SalAccts[[#This Row],[Value]]=3,"Other","")))</f>
        <v>Other</v>
      </c>
    </row>
    <row r="465" spans="2:5">
      <c r="B465">
        <v>622015</v>
      </c>
      <c r="C465" t="s">
        <v>590</v>
      </c>
      <c r="D465">
        <v>3</v>
      </c>
      <c r="E465" t="str">
        <f>IF(tbl_SalAccts[[#This Row],[Value]]=1,"Salary",IF(tbl_SalAccts[[#This Row],[Value]]=2,"Fringe",IF(tbl_SalAccts[[#This Row],[Value]]=3,"Other","")))</f>
        <v>Other</v>
      </c>
    </row>
    <row r="466" spans="2:5">
      <c r="B466">
        <v>622016</v>
      </c>
      <c r="C466" t="s">
        <v>591</v>
      </c>
      <c r="D466">
        <v>3</v>
      </c>
      <c r="E466" t="str">
        <f>IF(tbl_SalAccts[[#This Row],[Value]]=1,"Salary",IF(tbl_SalAccts[[#This Row],[Value]]=2,"Fringe",IF(tbl_SalAccts[[#This Row],[Value]]=3,"Other","")))</f>
        <v>Other</v>
      </c>
    </row>
    <row r="467" spans="2:5">
      <c r="B467">
        <v>622017</v>
      </c>
      <c r="C467" t="s">
        <v>592</v>
      </c>
      <c r="D467">
        <v>3</v>
      </c>
      <c r="E467" t="str">
        <f>IF(tbl_SalAccts[[#This Row],[Value]]=1,"Salary",IF(tbl_SalAccts[[#This Row],[Value]]=2,"Fringe",IF(tbl_SalAccts[[#This Row],[Value]]=3,"Other","")))</f>
        <v>Other</v>
      </c>
    </row>
    <row r="468" spans="2:5">
      <c r="B468">
        <v>622018</v>
      </c>
      <c r="C468" t="s">
        <v>593</v>
      </c>
      <c r="D468">
        <v>3</v>
      </c>
      <c r="E468" t="str">
        <f>IF(tbl_SalAccts[[#This Row],[Value]]=1,"Salary",IF(tbl_SalAccts[[#This Row],[Value]]=2,"Fringe",IF(tbl_SalAccts[[#This Row],[Value]]=3,"Other","")))</f>
        <v>Other</v>
      </c>
    </row>
    <row r="469" spans="2:5">
      <c r="B469">
        <v>622019</v>
      </c>
      <c r="C469" t="s">
        <v>594</v>
      </c>
      <c r="D469">
        <v>3</v>
      </c>
      <c r="E469" t="str">
        <f>IF(tbl_SalAccts[[#This Row],[Value]]=1,"Salary",IF(tbl_SalAccts[[#This Row],[Value]]=2,"Fringe",IF(tbl_SalAccts[[#This Row],[Value]]=3,"Other","")))</f>
        <v>Other</v>
      </c>
    </row>
    <row r="470" spans="2:5">
      <c r="B470">
        <v>622020</v>
      </c>
      <c r="C470" t="s">
        <v>595</v>
      </c>
      <c r="D470">
        <v>3</v>
      </c>
      <c r="E470" t="str">
        <f>IF(tbl_SalAccts[[#This Row],[Value]]=1,"Salary",IF(tbl_SalAccts[[#This Row],[Value]]=2,"Fringe",IF(tbl_SalAccts[[#This Row],[Value]]=3,"Other","")))</f>
        <v>Other</v>
      </c>
    </row>
    <row r="471" spans="2:5">
      <c r="B471">
        <v>622021</v>
      </c>
      <c r="C471" t="s">
        <v>596</v>
      </c>
      <c r="D471">
        <v>3</v>
      </c>
      <c r="E471" t="str">
        <f>IF(tbl_SalAccts[[#This Row],[Value]]=1,"Salary",IF(tbl_SalAccts[[#This Row],[Value]]=2,"Fringe",IF(tbl_SalAccts[[#This Row],[Value]]=3,"Other","")))</f>
        <v>Other</v>
      </c>
    </row>
    <row r="472" spans="2:5">
      <c r="B472">
        <v>622022</v>
      </c>
      <c r="C472" t="s">
        <v>597</v>
      </c>
      <c r="D472">
        <v>3</v>
      </c>
      <c r="E472" t="str">
        <f>IF(tbl_SalAccts[[#This Row],[Value]]=1,"Salary",IF(tbl_SalAccts[[#This Row],[Value]]=2,"Fringe",IF(tbl_SalAccts[[#This Row],[Value]]=3,"Other","")))</f>
        <v>Other</v>
      </c>
    </row>
    <row r="473" spans="2:5">
      <c r="B473">
        <v>622023</v>
      </c>
      <c r="C473" t="s">
        <v>598</v>
      </c>
      <c r="D473">
        <v>3</v>
      </c>
      <c r="E473" t="str">
        <f>IF(tbl_SalAccts[[#This Row],[Value]]=1,"Salary",IF(tbl_SalAccts[[#This Row],[Value]]=2,"Fringe",IF(tbl_SalAccts[[#This Row],[Value]]=3,"Other","")))</f>
        <v>Other</v>
      </c>
    </row>
    <row r="474" spans="2:5">
      <c r="B474">
        <v>622024</v>
      </c>
      <c r="C474" t="s">
        <v>599</v>
      </c>
      <c r="D474">
        <v>3</v>
      </c>
      <c r="E474" t="str">
        <f>IF(tbl_SalAccts[[#This Row],[Value]]=1,"Salary",IF(tbl_SalAccts[[#This Row],[Value]]=2,"Fringe",IF(tbl_SalAccts[[#This Row],[Value]]=3,"Other","")))</f>
        <v>Other</v>
      </c>
    </row>
    <row r="475" spans="2:5">
      <c r="B475">
        <v>623001</v>
      </c>
      <c r="C475" t="s">
        <v>600</v>
      </c>
      <c r="D475">
        <v>3</v>
      </c>
      <c r="E475" t="str">
        <f>IF(tbl_SalAccts[[#This Row],[Value]]=1,"Salary",IF(tbl_SalAccts[[#This Row],[Value]]=2,"Fringe",IF(tbl_SalAccts[[#This Row],[Value]]=3,"Other","")))</f>
        <v>Other</v>
      </c>
    </row>
    <row r="476" spans="2:5">
      <c r="B476">
        <v>623002</v>
      </c>
      <c r="C476" t="s">
        <v>601</v>
      </c>
      <c r="D476">
        <v>3</v>
      </c>
      <c r="E476" t="str">
        <f>IF(tbl_SalAccts[[#This Row],[Value]]=1,"Salary",IF(tbl_SalAccts[[#This Row],[Value]]=2,"Fringe",IF(tbl_SalAccts[[#This Row],[Value]]=3,"Other","")))</f>
        <v>Other</v>
      </c>
    </row>
    <row r="477" spans="2:5">
      <c r="B477">
        <v>623003</v>
      </c>
      <c r="C477" t="s">
        <v>602</v>
      </c>
      <c r="D477">
        <v>3</v>
      </c>
      <c r="E477" t="str">
        <f>IF(tbl_SalAccts[[#This Row],[Value]]=1,"Salary",IF(tbl_SalAccts[[#This Row],[Value]]=2,"Fringe",IF(tbl_SalAccts[[#This Row],[Value]]=3,"Other","")))</f>
        <v>Other</v>
      </c>
    </row>
    <row r="478" spans="2:5">
      <c r="B478">
        <v>623050</v>
      </c>
      <c r="C478" t="s">
        <v>603</v>
      </c>
      <c r="D478">
        <v>3</v>
      </c>
      <c r="E478" t="str">
        <f>IF(tbl_SalAccts[[#This Row],[Value]]=1,"Salary",IF(tbl_SalAccts[[#This Row],[Value]]=2,"Fringe",IF(tbl_SalAccts[[#This Row],[Value]]=3,"Other","")))</f>
        <v>Other</v>
      </c>
    </row>
    <row r="479" spans="2:5">
      <c r="B479">
        <v>623051</v>
      </c>
      <c r="C479" t="s">
        <v>604</v>
      </c>
      <c r="D479">
        <v>3</v>
      </c>
      <c r="E479" t="str">
        <f>IF(tbl_SalAccts[[#This Row],[Value]]=1,"Salary",IF(tbl_SalAccts[[#This Row],[Value]]=2,"Fringe",IF(tbl_SalAccts[[#This Row],[Value]]=3,"Other","")))</f>
        <v>Other</v>
      </c>
    </row>
    <row r="480" spans="2:5">
      <c r="B480">
        <v>623052</v>
      </c>
      <c r="C480" t="s">
        <v>605</v>
      </c>
      <c r="D480">
        <v>3</v>
      </c>
      <c r="E480" t="str">
        <f>IF(tbl_SalAccts[[#This Row],[Value]]=1,"Salary",IF(tbl_SalAccts[[#This Row],[Value]]=2,"Fringe",IF(tbl_SalAccts[[#This Row],[Value]]=3,"Other","")))</f>
        <v>Other</v>
      </c>
    </row>
    <row r="481" spans="2:5">
      <c r="B481">
        <v>623053</v>
      </c>
      <c r="C481" t="s">
        <v>606</v>
      </c>
      <c r="D481">
        <v>3</v>
      </c>
      <c r="E481" t="str">
        <f>IF(tbl_SalAccts[[#This Row],[Value]]=1,"Salary",IF(tbl_SalAccts[[#This Row],[Value]]=2,"Fringe",IF(tbl_SalAccts[[#This Row],[Value]]=3,"Other","")))</f>
        <v>Other</v>
      </c>
    </row>
    <row r="482" spans="2:5">
      <c r="B482">
        <v>623054</v>
      </c>
      <c r="C482" t="s">
        <v>607</v>
      </c>
      <c r="D482">
        <v>3</v>
      </c>
      <c r="E482" t="str">
        <f>IF(tbl_SalAccts[[#This Row],[Value]]=1,"Salary",IF(tbl_SalAccts[[#This Row],[Value]]=2,"Fringe",IF(tbl_SalAccts[[#This Row],[Value]]=3,"Other","")))</f>
        <v>Other</v>
      </c>
    </row>
    <row r="483" spans="2:5">
      <c r="B483">
        <v>623055</v>
      </c>
      <c r="C483" t="s">
        <v>608</v>
      </c>
      <c r="D483">
        <v>3</v>
      </c>
      <c r="E483" t="str">
        <f>IF(tbl_SalAccts[[#This Row],[Value]]=1,"Salary",IF(tbl_SalAccts[[#This Row],[Value]]=2,"Fringe",IF(tbl_SalAccts[[#This Row],[Value]]=3,"Other","")))</f>
        <v>Other</v>
      </c>
    </row>
    <row r="484" spans="2:5">
      <c r="B484">
        <v>624001</v>
      </c>
      <c r="C484" t="s">
        <v>609</v>
      </c>
      <c r="D484">
        <v>3</v>
      </c>
      <c r="E484" t="str">
        <f>IF(tbl_SalAccts[[#This Row],[Value]]=1,"Salary",IF(tbl_SalAccts[[#This Row],[Value]]=2,"Fringe",IF(tbl_SalAccts[[#This Row],[Value]]=3,"Other","")))</f>
        <v>Other</v>
      </c>
    </row>
    <row r="485" spans="2:5">
      <c r="B485">
        <v>624002</v>
      </c>
      <c r="C485" t="s">
        <v>610</v>
      </c>
      <c r="D485">
        <v>3</v>
      </c>
      <c r="E485" t="str">
        <f>IF(tbl_SalAccts[[#This Row],[Value]]=1,"Salary",IF(tbl_SalAccts[[#This Row],[Value]]=2,"Fringe",IF(tbl_SalAccts[[#This Row],[Value]]=3,"Other","")))</f>
        <v>Other</v>
      </c>
    </row>
    <row r="486" spans="2:5">
      <c r="B486">
        <v>624003</v>
      </c>
      <c r="C486" t="s">
        <v>611</v>
      </c>
      <c r="D486">
        <v>3</v>
      </c>
      <c r="E486" t="str">
        <f>IF(tbl_SalAccts[[#This Row],[Value]]=1,"Salary",IF(tbl_SalAccts[[#This Row],[Value]]=2,"Fringe",IF(tbl_SalAccts[[#This Row],[Value]]=3,"Other","")))</f>
        <v>Other</v>
      </c>
    </row>
    <row r="487" spans="2:5">
      <c r="B487">
        <v>624004</v>
      </c>
      <c r="C487" t="s">
        <v>612</v>
      </c>
      <c r="D487">
        <v>3</v>
      </c>
      <c r="E487" t="str">
        <f>IF(tbl_SalAccts[[#This Row],[Value]]=1,"Salary",IF(tbl_SalAccts[[#This Row],[Value]]=2,"Fringe",IF(tbl_SalAccts[[#This Row],[Value]]=3,"Other","")))</f>
        <v>Other</v>
      </c>
    </row>
    <row r="488" spans="2:5">
      <c r="B488">
        <v>624005</v>
      </c>
      <c r="C488" t="s">
        <v>613</v>
      </c>
      <c r="D488">
        <v>3</v>
      </c>
      <c r="E488" t="str">
        <f>IF(tbl_SalAccts[[#This Row],[Value]]=1,"Salary",IF(tbl_SalAccts[[#This Row],[Value]]=2,"Fringe",IF(tbl_SalAccts[[#This Row],[Value]]=3,"Other","")))</f>
        <v>Other</v>
      </c>
    </row>
    <row r="489" spans="2:5">
      <c r="B489">
        <v>624006</v>
      </c>
      <c r="C489" t="s">
        <v>614</v>
      </c>
      <c r="D489">
        <v>3</v>
      </c>
      <c r="E489" t="str">
        <f>IF(tbl_SalAccts[[#This Row],[Value]]=1,"Salary",IF(tbl_SalAccts[[#This Row],[Value]]=2,"Fringe",IF(tbl_SalAccts[[#This Row],[Value]]=3,"Other","")))</f>
        <v>Other</v>
      </c>
    </row>
    <row r="490" spans="2:5">
      <c r="B490">
        <v>624007</v>
      </c>
      <c r="C490" t="s">
        <v>615</v>
      </c>
      <c r="D490">
        <v>3</v>
      </c>
      <c r="E490" t="str">
        <f>IF(tbl_SalAccts[[#This Row],[Value]]=1,"Salary",IF(tbl_SalAccts[[#This Row],[Value]]=2,"Fringe",IF(tbl_SalAccts[[#This Row],[Value]]=3,"Other","")))</f>
        <v>Other</v>
      </c>
    </row>
    <row r="491" spans="2:5">
      <c r="B491">
        <v>624008</v>
      </c>
      <c r="C491" t="s">
        <v>616</v>
      </c>
      <c r="D491">
        <v>3</v>
      </c>
      <c r="E491" t="str">
        <f>IF(tbl_SalAccts[[#This Row],[Value]]=1,"Salary",IF(tbl_SalAccts[[#This Row],[Value]]=2,"Fringe",IF(tbl_SalAccts[[#This Row],[Value]]=3,"Other","")))</f>
        <v>Other</v>
      </c>
    </row>
    <row r="492" spans="2:5">
      <c r="B492">
        <v>624009</v>
      </c>
      <c r="C492" t="s">
        <v>617</v>
      </c>
      <c r="D492">
        <v>3</v>
      </c>
      <c r="E492" t="str">
        <f>IF(tbl_SalAccts[[#This Row],[Value]]=1,"Salary",IF(tbl_SalAccts[[#This Row],[Value]]=2,"Fringe",IF(tbl_SalAccts[[#This Row],[Value]]=3,"Other","")))</f>
        <v>Other</v>
      </c>
    </row>
    <row r="493" spans="2:5">
      <c r="B493">
        <v>624010</v>
      </c>
      <c r="C493" t="s">
        <v>618</v>
      </c>
      <c r="D493">
        <v>3</v>
      </c>
      <c r="E493" t="str">
        <f>IF(tbl_SalAccts[[#This Row],[Value]]=1,"Salary",IF(tbl_SalAccts[[#This Row],[Value]]=2,"Fringe",IF(tbl_SalAccts[[#This Row],[Value]]=3,"Other","")))</f>
        <v>Other</v>
      </c>
    </row>
    <row r="494" spans="2:5">
      <c r="B494">
        <v>624011</v>
      </c>
      <c r="C494" t="s">
        <v>619</v>
      </c>
      <c r="D494">
        <v>3</v>
      </c>
      <c r="E494" t="str">
        <f>IF(tbl_SalAccts[[#This Row],[Value]]=1,"Salary",IF(tbl_SalAccts[[#This Row],[Value]]=2,"Fringe",IF(tbl_SalAccts[[#This Row],[Value]]=3,"Other","")))</f>
        <v>Other</v>
      </c>
    </row>
    <row r="495" spans="2:5">
      <c r="B495">
        <v>624013</v>
      </c>
      <c r="C495" t="s">
        <v>620</v>
      </c>
      <c r="D495">
        <v>3</v>
      </c>
      <c r="E495" t="str">
        <f>IF(tbl_SalAccts[[#This Row],[Value]]=1,"Salary",IF(tbl_SalAccts[[#This Row],[Value]]=2,"Fringe",IF(tbl_SalAccts[[#This Row],[Value]]=3,"Other","")))</f>
        <v>Other</v>
      </c>
    </row>
    <row r="496" spans="2:5">
      <c r="B496">
        <v>624015</v>
      </c>
      <c r="C496" t="s">
        <v>621</v>
      </c>
      <c r="D496">
        <v>3</v>
      </c>
      <c r="E496" t="str">
        <f>IF(tbl_SalAccts[[#This Row],[Value]]=1,"Salary",IF(tbl_SalAccts[[#This Row],[Value]]=2,"Fringe",IF(tbl_SalAccts[[#This Row],[Value]]=3,"Other","")))</f>
        <v>Other</v>
      </c>
    </row>
    <row r="497" spans="2:5">
      <c r="B497">
        <v>624016</v>
      </c>
      <c r="C497" t="s">
        <v>622</v>
      </c>
      <c r="D497">
        <v>3</v>
      </c>
      <c r="E497" t="str">
        <f>IF(tbl_SalAccts[[#This Row],[Value]]=1,"Salary",IF(tbl_SalAccts[[#This Row],[Value]]=2,"Fringe",IF(tbl_SalAccts[[#This Row],[Value]]=3,"Other","")))</f>
        <v>Other</v>
      </c>
    </row>
    <row r="498" spans="2:5">
      <c r="B498">
        <v>624017</v>
      </c>
      <c r="C498" t="s">
        <v>623</v>
      </c>
      <c r="D498">
        <v>3</v>
      </c>
      <c r="E498" t="str">
        <f>IF(tbl_SalAccts[[#This Row],[Value]]=1,"Salary",IF(tbl_SalAccts[[#This Row],[Value]]=2,"Fringe",IF(tbl_SalAccts[[#This Row],[Value]]=3,"Other","")))</f>
        <v>Other</v>
      </c>
    </row>
    <row r="499" spans="2:5">
      <c r="B499">
        <v>624022</v>
      </c>
      <c r="C499" t="s">
        <v>624</v>
      </c>
      <c r="D499">
        <v>3</v>
      </c>
      <c r="E499" t="str">
        <f>IF(tbl_SalAccts[[#This Row],[Value]]=1,"Salary",IF(tbl_SalAccts[[#This Row],[Value]]=2,"Fringe",IF(tbl_SalAccts[[#This Row],[Value]]=3,"Other","")))</f>
        <v>Other</v>
      </c>
    </row>
    <row r="500" spans="2:5">
      <c r="B500">
        <v>624023</v>
      </c>
      <c r="C500" t="s">
        <v>625</v>
      </c>
      <c r="D500">
        <v>3</v>
      </c>
      <c r="E500" t="str">
        <f>IF(tbl_SalAccts[[#This Row],[Value]]=1,"Salary",IF(tbl_SalAccts[[#This Row],[Value]]=2,"Fringe",IF(tbl_SalAccts[[#This Row],[Value]]=3,"Other","")))</f>
        <v>Other</v>
      </c>
    </row>
    <row r="501" spans="2:5">
      <c r="B501">
        <v>624024</v>
      </c>
      <c r="C501" t="s">
        <v>626</v>
      </c>
      <c r="D501">
        <v>3</v>
      </c>
      <c r="E501" t="str">
        <f>IF(tbl_SalAccts[[#This Row],[Value]]=1,"Salary",IF(tbl_SalAccts[[#This Row],[Value]]=2,"Fringe",IF(tbl_SalAccts[[#This Row],[Value]]=3,"Other","")))</f>
        <v>Other</v>
      </c>
    </row>
    <row r="502" spans="2:5">
      <c r="B502">
        <v>624025</v>
      </c>
      <c r="C502" t="s">
        <v>627</v>
      </c>
      <c r="D502">
        <v>3</v>
      </c>
      <c r="E502" t="str">
        <f>IF(tbl_SalAccts[[#This Row],[Value]]=1,"Salary",IF(tbl_SalAccts[[#This Row],[Value]]=2,"Fringe",IF(tbl_SalAccts[[#This Row],[Value]]=3,"Other","")))</f>
        <v>Other</v>
      </c>
    </row>
    <row r="503" spans="2:5">
      <c r="B503">
        <v>624026</v>
      </c>
      <c r="C503" t="s">
        <v>628</v>
      </c>
      <c r="D503">
        <v>3</v>
      </c>
      <c r="E503" t="str">
        <f>IF(tbl_SalAccts[[#This Row],[Value]]=1,"Salary",IF(tbl_SalAccts[[#This Row],[Value]]=2,"Fringe",IF(tbl_SalAccts[[#This Row],[Value]]=3,"Other","")))</f>
        <v>Other</v>
      </c>
    </row>
    <row r="504" spans="2:5">
      <c r="B504">
        <v>624027</v>
      </c>
      <c r="C504" t="s">
        <v>629</v>
      </c>
      <c r="D504">
        <v>3</v>
      </c>
      <c r="E504" t="str">
        <f>IF(tbl_SalAccts[[#This Row],[Value]]=1,"Salary",IF(tbl_SalAccts[[#This Row],[Value]]=2,"Fringe",IF(tbl_SalAccts[[#This Row],[Value]]=3,"Other","")))</f>
        <v>Other</v>
      </c>
    </row>
    <row r="505" spans="2:5">
      <c r="B505">
        <v>624028</v>
      </c>
      <c r="C505" t="s">
        <v>630</v>
      </c>
      <c r="D505">
        <v>3</v>
      </c>
      <c r="E505" t="str">
        <f>IF(tbl_SalAccts[[#This Row],[Value]]=1,"Salary",IF(tbl_SalAccts[[#This Row],[Value]]=2,"Fringe",IF(tbl_SalAccts[[#This Row],[Value]]=3,"Other","")))</f>
        <v>Other</v>
      </c>
    </row>
    <row r="506" spans="2:5">
      <c r="B506">
        <v>624032</v>
      </c>
      <c r="C506" t="s">
        <v>631</v>
      </c>
      <c r="D506">
        <v>3</v>
      </c>
      <c r="E506" t="str">
        <f>IF(tbl_SalAccts[[#This Row],[Value]]=1,"Salary",IF(tbl_SalAccts[[#This Row],[Value]]=2,"Fringe",IF(tbl_SalAccts[[#This Row],[Value]]=3,"Other","")))</f>
        <v>Other</v>
      </c>
    </row>
    <row r="507" spans="2:5">
      <c r="B507">
        <v>624033</v>
      </c>
      <c r="C507" t="s">
        <v>632</v>
      </c>
      <c r="D507">
        <v>3</v>
      </c>
      <c r="E507" t="str">
        <f>IF(tbl_SalAccts[[#This Row],[Value]]=1,"Salary",IF(tbl_SalAccts[[#This Row],[Value]]=2,"Fringe",IF(tbl_SalAccts[[#This Row],[Value]]=3,"Other","")))</f>
        <v>Other</v>
      </c>
    </row>
    <row r="508" spans="2:5">
      <c r="B508">
        <v>624035</v>
      </c>
      <c r="C508" t="s">
        <v>633</v>
      </c>
      <c r="D508">
        <v>3</v>
      </c>
      <c r="E508" t="str">
        <f>IF(tbl_SalAccts[[#This Row],[Value]]=1,"Salary",IF(tbl_SalAccts[[#This Row],[Value]]=2,"Fringe",IF(tbl_SalAccts[[#This Row],[Value]]=3,"Other","")))</f>
        <v>Other</v>
      </c>
    </row>
    <row r="509" spans="2:5">
      <c r="B509">
        <v>624038</v>
      </c>
      <c r="C509" t="s">
        <v>634</v>
      </c>
      <c r="D509">
        <v>3</v>
      </c>
      <c r="E509" t="str">
        <f>IF(tbl_SalAccts[[#This Row],[Value]]=1,"Salary",IF(tbl_SalAccts[[#This Row],[Value]]=2,"Fringe",IF(tbl_SalAccts[[#This Row],[Value]]=3,"Other","")))</f>
        <v>Other</v>
      </c>
    </row>
    <row r="510" spans="2:5">
      <c r="B510">
        <v>624039</v>
      </c>
      <c r="C510" t="s">
        <v>635</v>
      </c>
      <c r="D510">
        <v>3</v>
      </c>
      <c r="E510" t="str">
        <f>IF(tbl_SalAccts[[#This Row],[Value]]=1,"Salary",IF(tbl_SalAccts[[#This Row],[Value]]=2,"Fringe",IF(tbl_SalAccts[[#This Row],[Value]]=3,"Other","")))</f>
        <v>Other</v>
      </c>
    </row>
    <row r="511" spans="2:5">
      <c r="B511">
        <v>624045</v>
      </c>
      <c r="C511" t="s">
        <v>636</v>
      </c>
      <c r="D511">
        <v>3</v>
      </c>
      <c r="E511" t="str">
        <f>IF(tbl_SalAccts[[#This Row],[Value]]=1,"Salary",IF(tbl_SalAccts[[#This Row],[Value]]=2,"Fringe",IF(tbl_SalAccts[[#This Row],[Value]]=3,"Other","")))</f>
        <v>Other</v>
      </c>
    </row>
    <row r="512" spans="2:5">
      <c r="B512">
        <v>624046</v>
      </c>
      <c r="C512" t="s">
        <v>637</v>
      </c>
      <c r="D512">
        <v>3</v>
      </c>
      <c r="E512" t="str">
        <f>IF(tbl_SalAccts[[#This Row],[Value]]=1,"Salary",IF(tbl_SalAccts[[#This Row],[Value]]=2,"Fringe",IF(tbl_SalAccts[[#This Row],[Value]]=3,"Other","")))</f>
        <v>Other</v>
      </c>
    </row>
    <row r="513" spans="2:5">
      <c r="B513">
        <v>624047</v>
      </c>
      <c r="C513" t="s">
        <v>638</v>
      </c>
      <c r="D513">
        <v>3</v>
      </c>
      <c r="E513" t="str">
        <f>IF(tbl_SalAccts[[#This Row],[Value]]=1,"Salary",IF(tbl_SalAccts[[#This Row],[Value]]=2,"Fringe",IF(tbl_SalAccts[[#This Row],[Value]]=3,"Other","")))</f>
        <v>Other</v>
      </c>
    </row>
    <row r="514" spans="2:5">
      <c r="B514">
        <v>624050</v>
      </c>
      <c r="C514" t="s">
        <v>639</v>
      </c>
      <c r="D514">
        <v>3</v>
      </c>
      <c r="E514" t="str">
        <f>IF(tbl_SalAccts[[#This Row],[Value]]=1,"Salary",IF(tbl_SalAccts[[#This Row],[Value]]=2,"Fringe",IF(tbl_SalAccts[[#This Row],[Value]]=3,"Other","")))</f>
        <v>Other</v>
      </c>
    </row>
    <row r="515" spans="2:5">
      <c r="B515">
        <v>624051</v>
      </c>
      <c r="C515" t="s">
        <v>640</v>
      </c>
      <c r="D515">
        <v>3</v>
      </c>
      <c r="E515" t="str">
        <f>IF(tbl_SalAccts[[#This Row],[Value]]=1,"Salary",IF(tbl_SalAccts[[#This Row],[Value]]=2,"Fringe",IF(tbl_SalAccts[[#This Row],[Value]]=3,"Other","")))</f>
        <v>Other</v>
      </c>
    </row>
    <row r="516" spans="2:5">
      <c r="B516">
        <v>624052</v>
      </c>
      <c r="C516" t="s">
        <v>641</v>
      </c>
      <c r="D516">
        <v>3</v>
      </c>
      <c r="E516" t="str">
        <f>IF(tbl_SalAccts[[#This Row],[Value]]=1,"Salary",IF(tbl_SalAccts[[#This Row],[Value]]=2,"Fringe",IF(tbl_SalAccts[[#This Row],[Value]]=3,"Other","")))</f>
        <v>Other</v>
      </c>
    </row>
    <row r="517" spans="2:5">
      <c r="B517">
        <v>624053</v>
      </c>
      <c r="C517" t="s">
        <v>642</v>
      </c>
      <c r="D517">
        <v>3</v>
      </c>
      <c r="E517" t="str">
        <f>IF(tbl_SalAccts[[#This Row],[Value]]=1,"Salary",IF(tbl_SalAccts[[#This Row],[Value]]=2,"Fringe",IF(tbl_SalAccts[[#This Row],[Value]]=3,"Other","")))</f>
        <v>Other</v>
      </c>
    </row>
    <row r="518" spans="2:5">
      <c r="B518">
        <v>624054</v>
      </c>
      <c r="C518" t="s">
        <v>643</v>
      </c>
      <c r="D518">
        <v>3</v>
      </c>
      <c r="E518" t="str">
        <f>IF(tbl_SalAccts[[#This Row],[Value]]=1,"Salary",IF(tbl_SalAccts[[#This Row],[Value]]=2,"Fringe",IF(tbl_SalAccts[[#This Row],[Value]]=3,"Other","")))</f>
        <v>Other</v>
      </c>
    </row>
    <row r="519" spans="2:5">
      <c r="B519">
        <v>624055</v>
      </c>
      <c r="C519" t="s">
        <v>644</v>
      </c>
      <c r="D519">
        <v>3</v>
      </c>
      <c r="E519" t="str">
        <f>IF(tbl_SalAccts[[#This Row],[Value]]=1,"Salary",IF(tbl_SalAccts[[#This Row],[Value]]=2,"Fringe",IF(tbl_SalAccts[[#This Row],[Value]]=3,"Other","")))</f>
        <v>Other</v>
      </c>
    </row>
    <row r="520" spans="2:5">
      <c r="B520">
        <v>624056</v>
      </c>
      <c r="C520" t="s">
        <v>645</v>
      </c>
      <c r="D520">
        <v>3</v>
      </c>
      <c r="E520" t="str">
        <f>IF(tbl_SalAccts[[#This Row],[Value]]=1,"Salary",IF(tbl_SalAccts[[#This Row],[Value]]=2,"Fringe",IF(tbl_SalAccts[[#This Row],[Value]]=3,"Other","")))</f>
        <v>Other</v>
      </c>
    </row>
    <row r="521" spans="2:5">
      <c r="B521">
        <v>624060</v>
      </c>
      <c r="C521" t="s">
        <v>646</v>
      </c>
      <c r="D521">
        <v>3</v>
      </c>
      <c r="E521" t="str">
        <f>IF(tbl_SalAccts[[#This Row],[Value]]=1,"Salary",IF(tbl_SalAccts[[#This Row],[Value]]=2,"Fringe",IF(tbl_SalAccts[[#This Row],[Value]]=3,"Other","")))</f>
        <v>Other</v>
      </c>
    </row>
    <row r="522" spans="2:5">
      <c r="B522">
        <v>624065</v>
      </c>
      <c r="C522" t="s">
        <v>647</v>
      </c>
      <c r="D522">
        <v>3</v>
      </c>
      <c r="E522" t="str">
        <f>IF(tbl_SalAccts[[#This Row],[Value]]=1,"Salary",IF(tbl_SalAccts[[#This Row],[Value]]=2,"Fringe",IF(tbl_SalAccts[[#This Row],[Value]]=3,"Other","")))</f>
        <v>Other</v>
      </c>
    </row>
    <row r="523" spans="2:5">
      <c r="B523">
        <v>624067</v>
      </c>
      <c r="C523" t="s">
        <v>648</v>
      </c>
      <c r="D523">
        <v>3</v>
      </c>
      <c r="E523" t="str">
        <f>IF(tbl_SalAccts[[#This Row],[Value]]=1,"Salary",IF(tbl_SalAccts[[#This Row],[Value]]=2,"Fringe",IF(tbl_SalAccts[[#This Row],[Value]]=3,"Other","")))</f>
        <v>Other</v>
      </c>
    </row>
    <row r="524" spans="2:5">
      <c r="B524">
        <v>624068</v>
      </c>
      <c r="C524" t="s">
        <v>649</v>
      </c>
      <c r="D524">
        <v>3</v>
      </c>
      <c r="E524" t="str">
        <f>IF(tbl_SalAccts[[#This Row],[Value]]=1,"Salary",IF(tbl_SalAccts[[#This Row],[Value]]=2,"Fringe",IF(tbl_SalAccts[[#This Row],[Value]]=3,"Other","")))</f>
        <v>Other</v>
      </c>
    </row>
    <row r="525" spans="2:5">
      <c r="B525">
        <v>624069</v>
      </c>
      <c r="C525" t="s">
        <v>650</v>
      </c>
      <c r="D525">
        <v>3</v>
      </c>
      <c r="E525" t="str">
        <f>IF(tbl_SalAccts[[#This Row],[Value]]=1,"Salary",IF(tbl_SalAccts[[#This Row],[Value]]=2,"Fringe",IF(tbl_SalAccts[[#This Row],[Value]]=3,"Other","")))</f>
        <v>Other</v>
      </c>
    </row>
    <row r="526" spans="2:5">
      <c r="B526">
        <v>624070</v>
      </c>
      <c r="C526" t="s">
        <v>651</v>
      </c>
      <c r="D526">
        <v>3</v>
      </c>
      <c r="E526" t="str">
        <f>IF(tbl_SalAccts[[#This Row],[Value]]=1,"Salary",IF(tbl_SalAccts[[#This Row],[Value]]=2,"Fringe",IF(tbl_SalAccts[[#This Row],[Value]]=3,"Other","")))</f>
        <v>Other</v>
      </c>
    </row>
    <row r="527" spans="2:5">
      <c r="B527">
        <v>624071</v>
      </c>
      <c r="C527" t="s">
        <v>652</v>
      </c>
      <c r="D527">
        <v>3</v>
      </c>
      <c r="E527" t="str">
        <f>IF(tbl_SalAccts[[#This Row],[Value]]=1,"Salary",IF(tbl_SalAccts[[#This Row],[Value]]=2,"Fringe",IF(tbl_SalAccts[[#This Row],[Value]]=3,"Other","")))</f>
        <v>Other</v>
      </c>
    </row>
    <row r="528" spans="2:5">
      <c r="B528">
        <v>624072</v>
      </c>
      <c r="C528" t="s">
        <v>653</v>
      </c>
      <c r="D528">
        <v>3</v>
      </c>
      <c r="E528" t="str">
        <f>IF(tbl_SalAccts[[#This Row],[Value]]=1,"Salary",IF(tbl_SalAccts[[#This Row],[Value]]=2,"Fringe",IF(tbl_SalAccts[[#This Row],[Value]]=3,"Other","")))</f>
        <v>Other</v>
      </c>
    </row>
    <row r="529" spans="2:5">
      <c r="B529">
        <v>624073</v>
      </c>
      <c r="C529" t="s">
        <v>654</v>
      </c>
      <c r="D529">
        <v>3</v>
      </c>
      <c r="E529" t="str">
        <f>IF(tbl_SalAccts[[#This Row],[Value]]=1,"Salary",IF(tbl_SalAccts[[#This Row],[Value]]=2,"Fringe",IF(tbl_SalAccts[[#This Row],[Value]]=3,"Other","")))</f>
        <v>Other</v>
      </c>
    </row>
    <row r="530" spans="2:5">
      <c r="B530">
        <v>624074</v>
      </c>
      <c r="C530" t="s">
        <v>655</v>
      </c>
      <c r="D530">
        <v>3</v>
      </c>
      <c r="E530" t="str">
        <f>IF(tbl_SalAccts[[#This Row],[Value]]=1,"Salary",IF(tbl_SalAccts[[#This Row],[Value]]=2,"Fringe",IF(tbl_SalAccts[[#This Row],[Value]]=3,"Other","")))</f>
        <v>Other</v>
      </c>
    </row>
    <row r="531" spans="2:5">
      <c r="B531">
        <v>624075</v>
      </c>
      <c r="C531" t="s">
        <v>656</v>
      </c>
      <c r="D531">
        <v>3</v>
      </c>
      <c r="E531" t="str">
        <f>IF(tbl_SalAccts[[#This Row],[Value]]=1,"Salary",IF(tbl_SalAccts[[#This Row],[Value]]=2,"Fringe",IF(tbl_SalAccts[[#This Row],[Value]]=3,"Other","")))</f>
        <v>Other</v>
      </c>
    </row>
    <row r="532" spans="2:5">
      <c r="B532">
        <v>624076</v>
      </c>
      <c r="C532" t="s">
        <v>657</v>
      </c>
      <c r="D532">
        <v>3</v>
      </c>
      <c r="E532" t="str">
        <f>IF(tbl_SalAccts[[#This Row],[Value]]=1,"Salary",IF(tbl_SalAccts[[#This Row],[Value]]=2,"Fringe",IF(tbl_SalAccts[[#This Row],[Value]]=3,"Other","")))</f>
        <v>Other</v>
      </c>
    </row>
    <row r="533" spans="2:5">
      <c r="B533">
        <v>624077</v>
      </c>
      <c r="C533" t="s">
        <v>658</v>
      </c>
      <c r="D533">
        <v>3</v>
      </c>
      <c r="E533" t="str">
        <f>IF(tbl_SalAccts[[#This Row],[Value]]=1,"Salary",IF(tbl_SalAccts[[#This Row],[Value]]=2,"Fringe",IF(tbl_SalAccts[[#This Row],[Value]]=3,"Other","")))</f>
        <v>Other</v>
      </c>
    </row>
    <row r="534" spans="2:5">
      <c r="B534">
        <v>624078</v>
      </c>
      <c r="C534" t="s">
        <v>659</v>
      </c>
      <c r="D534">
        <v>3</v>
      </c>
      <c r="E534" t="str">
        <f>IF(tbl_SalAccts[[#This Row],[Value]]=1,"Salary",IF(tbl_SalAccts[[#This Row],[Value]]=2,"Fringe",IF(tbl_SalAccts[[#This Row],[Value]]=3,"Other","")))</f>
        <v>Other</v>
      </c>
    </row>
    <row r="535" spans="2:5">
      <c r="B535">
        <v>624079</v>
      </c>
      <c r="C535" t="s">
        <v>660</v>
      </c>
      <c r="D535">
        <v>3</v>
      </c>
      <c r="E535" t="str">
        <f>IF(tbl_SalAccts[[#This Row],[Value]]=1,"Salary",IF(tbl_SalAccts[[#This Row],[Value]]=2,"Fringe",IF(tbl_SalAccts[[#This Row],[Value]]=3,"Other","")))</f>
        <v>Other</v>
      </c>
    </row>
    <row r="536" spans="2:5">
      <c r="B536">
        <v>624081</v>
      </c>
      <c r="C536" t="s">
        <v>584</v>
      </c>
      <c r="D536">
        <v>3</v>
      </c>
      <c r="E536" t="str">
        <f>IF(tbl_SalAccts[[#This Row],[Value]]=1,"Salary",IF(tbl_SalAccts[[#This Row],[Value]]=2,"Fringe",IF(tbl_SalAccts[[#This Row],[Value]]=3,"Other","")))</f>
        <v>Other</v>
      </c>
    </row>
    <row r="537" spans="2:5">
      <c r="B537">
        <v>624085</v>
      </c>
      <c r="C537" t="s">
        <v>661</v>
      </c>
      <c r="D537">
        <v>3</v>
      </c>
      <c r="E537" t="str">
        <f>IF(tbl_SalAccts[[#This Row],[Value]]=1,"Salary",IF(tbl_SalAccts[[#This Row],[Value]]=2,"Fringe",IF(tbl_SalAccts[[#This Row],[Value]]=3,"Other","")))</f>
        <v>Other</v>
      </c>
    </row>
    <row r="538" spans="2:5">
      <c r="B538">
        <v>624086</v>
      </c>
      <c r="C538" t="s">
        <v>662</v>
      </c>
      <c r="D538">
        <v>3</v>
      </c>
      <c r="E538" t="str">
        <f>IF(tbl_SalAccts[[#This Row],[Value]]=1,"Salary",IF(tbl_SalAccts[[#This Row],[Value]]=2,"Fringe",IF(tbl_SalAccts[[#This Row],[Value]]=3,"Other","")))</f>
        <v>Other</v>
      </c>
    </row>
    <row r="539" spans="2:5">
      <c r="B539">
        <v>624088</v>
      </c>
      <c r="C539" t="s">
        <v>663</v>
      </c>
      <c r="D539">
        <v>3</v>
      </c>
      <c r="E539" t="str">
        <f>IF(tbl_SalAccts[[#This Row],[Value]]=1,"Salary",IF(tbl_SalAccts[[#This Row],[Value]]=2,"Fringe",IF(tbl_SalAccts[[#This Row],[Value]]=3,"Other","")))</f>
        <v>Other</v>
      </c>
    </row>
    <row r="540" spans="2:5">
      <c r="B540">
        <v>624090</v>
      </c>
      <c r="C540" t="s">
        <v>664</v>
      </c>
      <c r="D540">
        <v>3</v>
      </c>
      <c r="E540" t="str">
        <f>IF(tbl_SalAccts[[#This Row],[Value]]=1,"Salary",IF(tbl_SalAccts[[#This Row],[Value]]=2,"Fringe",IF(tbl_SalAccts[[#This Row],[Value]]=3,"Other","")))</f>
        <v>Other</v>
      </c>
    </row>
    <row r="541" spans="2:5">
      <c r="B541">
        <v>624103</v>
      </c>
      <c r="C541" t="s">
        <v>665</v>
      </c>
      <c r="D541">
        <v>3</v>
      </c>
      <c r="E541" t="str">
        <f>IF(tbl_SalAccts[[#This Row],[Value]]=1,"Salary",IF(tbl_SalAccts[[#This Row],[Value]]=2,"Fringe",IF(tbl_SalAccts[[#This Row],[Value]]=3,"Other","")))</f>
        <v>Other</v>
      </c>
    </row>
    <row r="542" spans="2:5">
      <c r="B542">
        <v>624104</v>
      </c>
      <c r="C542" t="s">
        <v>666</v>
      </c>
      <c r="D542">
        <v>3</v>
      </c>
      <c r="E542" t="str">
        <f>IF(tbl_SalAccts[[#This Row],[Value]]=1,"Salary",IF(tbl_SalAccts[[#This Row],[Value]]=2,"Fringe",IF(tbl_SalAccts[[#This Row],[Value]]=3,"Other","")))</f>
        <v>Other</v>
      </c>
    </row>
    <row r="543" spans="2:5">
      <c r="B543">
        <v>624105</v>
      </c>
      <c r="C543" t="s">
        <v>667</v>
      </c>
      <c r="D543">
        <v>3</v>
      </c>
      <c r="E543" t="str">
        <f>IF(tbl_SalAccts[[#This Row],[Value]]=1,"Salary",IF(tbl_SalAccts[[#This Row],[Value]]=2,"Fringe",IF(tbl_SalAccts[[#This Row],[Value]]=3,"Other","")))</f>
        <v>Other</v>
      </c>
    </row>
    <row r="544" spans="2:5">
      <c r="B544">
        <v>624106</v>
      </c>
      <c r="C544" t="s">
        <v>668</v>
      </c>
      <c r="D544">
        <v>3</v>
      </c>
      <c r="E544" t="str">
        <f>IF(tbl_SalAccts[[#This Row],[Value]]=1,"Salary",IF(tbl_SalAccts[[#This Row],[Value]]=2,"Fringe",IF(tbl_SalAccts[[#This Row],[Value]]=3,"Other","")))</f>
        <v>Other</v>
      </c>
    </row>
    <row r="545" spans="2:5">
      <c r="B545">
        <v>624107</v>
      </c>
      <c r="C545" t="s">
        <v>669</v>
      </c>
      <c r="D545">
        <v>3</v>
      </c>
      <c r="E545" t="str">
        <f>IF(tbl_SalAccts[[#This Row],[Value]]=1,"Salary",IF(tbl_SalAccts[[#This Row],[Value]]=2,"Fringe",IF(tbl_SalAccts[[#This Row],[Value]]=3,"Other","")))</f>
        <v>Other</v>
      </c>
    </row>
    <row r="546" spans="2:5">
      <c r="B546">
        <v>624108</v>
      </c>
      <c r="C546" t="s">
        <v>670</v>
      </c>
      <c r="D546">
        <v>3</v>
      </c>
      <c r="E546" t="str">
        <f>IF(tbl_SalAccts[[#This Row],[Value]]=1,"Salary",IF(tbl_SalAccts[[#This Row],[Value]]=2,"Fringe",IF(tbl_SalAccts[[#This Row],[Value]]=3,"Other","")))</f>
        <v>Other</v>
      </c>
    </row>
    <row r="547" spans="2:5">
      <c r="B547">
        <v>624109</v>
      </c>
      <c r="C547" t="s">
        <v>671</v>
      </c>
      <c r="D547">
        <v>3</v>
      </c>
      <c r="E547" t="str">
        <f>IF(tbl_SalAccts[[#This Row],[Value]]=1,"Salary",IF(tbl_SalAccts[[#This Row],[Value]]=2,"Fringe",IF(tbl_SalAccts[[#This Row],[Value]]=3,"Other","")))</f>
        <v>Other</v>
      </c>
    </row>
    <row r="548" spans="2:5">
      <c r="B548">
        <v>624131</v>
      </c>
      <c r="C548" t="s">
        <v>672</v>
      </c>
      <c r="D548">
        <v>3</v>
      </c>
      <c r="E548" t="str">
        <f>IF(tbl_SalAccts[[#This Row],[Value]]=1,"Salary",IF(tbl_SalAccts[[#This Row],[Value]]=2,"Fringe",IF(tbl_SalAccts[[#This Row],[Value]]=3,"Other","")))</f>
        <v>Other</v>
      </c>
    </row>
    <row r="549" spans="2:5">
      <c r="B549">
        <v>624132</v>
      </c>
      <c r="C549" t="s">
        <v>673</v>
      </c>
      <c r="D549">
        <v>3</v>
      </c>
      <c r="E549" t="str">
        <f>IF(tbl_SalAccts[[#This Row],[Value]]=1,"Salary",IF(tbl_SalAccts[[#This Row],[Value]]=2,"Fringe",IF(tbl_SalAccts[[#This Row],[Value]]=3,"Other","")))</f>
        <v>Other</v>
      </c>
    </row>
    <row r="550" spans="2:5">
      <c r="B550">
        <v>625001</v>
      </c>
      <c r="C550" t="s">
        <v>674</v>
      </c>
      <c r="D550">
        <v>3</v>
      </c>
      <c r="E550" t="str">
        <f>IF(tbl_SalAccts[[#This Row],[Value]]=1,"Salary",IF(tbl_SalAccts[[#This Row],[Value]]=2,"Fringe",IF(tbl_SalAccts[[#This Row],[Value]]=3,"Other","")))</f>
        <v>Other</v>
      </c>
    </row>
    <row r="551" spans="2:5">
      <c r="B551">
        <v>626001</v>
      </c>
      <c r="C551" t="s">
        <v>675</v>
      </c>
      <c r="D551">
        <v>3</v>
      </c>
      <c r="E551" t="str">
        <f>IF(tbl_SalAccts[[#This Row],[Value]]=1,"Salary",IF(tbl_SalAccts[[#This Row],[Value]]=2,"Fringe",IF(tbl_SalAccts[[#This Row],[Value]]=3,"Other","")))</f>
        <v>Other</v>
      </c>
    </row>
    <row r="552" spans="2:5">
      <c r="B552">
        <v>627001</v>
      </c>
      <c r="C552" t="s">
        <v>676</v>
      </c>
      <c r="D552">
        <v>3</v>
      </c>
      <c r="E552" t="str">
        <f>IF(tbl_SalAccts[[#This Row],[Value]]=1,"Salary",IF(tbl_SalAccts[[#This Row],[Value]]=2,"Fringe",IF(tbl_SalAccts[[#This Row],[Value]]=3,"Other","")))</f>
        <v>Other</v>
      </c>
    </row>
    <row r="553" spans="2:5">
      <c r="B553">
        <v>628001</v>
      </c>
      <c r="C553" t="s">
        <v>677</v>
      </c>
      <c r="D553">
        <v>3</v>
      </c>
      <c r="E553" t="str">
        <f>IF(tbl_SalAccts[[#This Row],[Value]]=1,"Salary",IF(tbl_SalAccts[[#This Row],[Value]]=2,"Fringe",IF(tbl_SalAccts[[#This Row],[Value]]=3,"Other","")))</f>
        <v>Other</v>
      </c>
    </row>
    <row r="554" spans="2:5">
      <c r="B554">
        <v>628002</v>
      </c>
      <c r="C554" t="s">
        <v>678</v>
      </c>
      <c r="D554">
        <v>3</v>
      </c>
      <c r="E554" t="str">
        <f>IF(tbl_SalAccts[[#This Row],[Value]]=1,"Salary",IF(tbl_SalAccts[[#This Row],[Value]]=2,"Fringe",IF(tbl_SalAccts[[#This Row],[Value]]=3,"Other","")))</f>
        <v>Other</v>
      </c>
    </row>
    <row r="555" spans="2:5">
      <c r="B555">
        <v>628003</v>
      </c>
      <c r="C555" t="s">
        <v>679</v>
      </c>
      <c r="D555">
        <v>3</v>
      </c>
      <c r="E555" t="str">
        <f>IF(tbl_SalAccts[[#This Row],[Value]]=1,"Salary",IF(tbl_SalAccts[[#This Row],[Value]]=2,"Fringe",IF(tbl_SalAccts[[#This Row],[Value]]=3,"Other","")))</f>
        <v>Other</v>
      </c>
    </row>
    <row r="556" spans="2:5">
      <c r="B556">
        <v>628004</v>
      </c>
      <c r="C556" t="s">
        <v>680</v>
      </c>
      <c r="D556">
        <v>3</v>
      </c>
      <c r="E556" t="str">
        <f>IF(tbl_SalAccts[[#This Row],[Value]]=1,"Salary",IF(tbl_SalAccts[[#This Row],[Value]]=2,"Fringe",IF(tbl_SalAccts[[#This Row],[Value]]=3,"Other","")))</f>
        <v>Other</v>
      </c>
    </row>
    <row r="557" spans="2:5">
      <c r="B557">
        <v>628005</v>
      </c>
      <c r="C557" t="s">
        <v>681</v>
      </c>
      <c r="D557">
        <v>3</v>
      </c>
      <c r="E557" t="str">
        <f>IF(tbl_SalAccts[[#This Row],[Value]]=1,"Salary",IF(tbl_SalAccts[[#This Row],[Value]]=2,"Fringe",IF(tbl_SalAccts[[#This Row],[Value]]=3,"Other","")))</f>
        <v>Other</v>
      </c>
    </row>
    <row r="558" spans="2:5">
      <c r="B558">
        <v>628006</v>
      </c>
      <c r="C558" t="s">
        <v>682</v>
      </c>
      <c r="D558">
        <v>3</v>
      </c>
      <c r="E558" t="str">
        <f>IF(tbl_SalAccts[[#This Row],[Value]]=1,"Salary",IF(tbl_SalAccts[[#This Row],[Value]]=2,"Fringe",IF(tbl_SalAccts[[#This Row],[Value]]=3,"Other","")))</f>
        <v>Other</v>
      </c>
    </row>
    <row r="559" spans="2:5">
      <c r="B559">
        <v>628007</v>
      </c>
      <c r="C559" t="s">
        <v>683</v>
      </c>
      <c r="D559">
        <v>3</v>
      </c>
      <c r="E559" t="str">
        <f>IF(tbl_SalAccts[[#This Row],[Value]]=1,"Salary",IF(tbl_SalAccts[[#This Row],[Value]]=2,"Fringe",IF(tbl_SalAccts[[#This Row],[Value]]=3,"Other","")))</f>
        <v>Other</v>
      </c>
    </row>
    <row r="560" spans="2:5">
      <c r="B560">
        <v>628008</v>
      </c>
      <c r="C560" t="s">
        <v>684</v>
      </c>
      <c r="D560">
        <v>3</v>
      </c>
      <c r="E560" t="str">
        <f>IF(tbl_SalAccts[[#This Row],[Value]]=1,"Salary",IF(tbl_SalAccts[[#This Row],[Value]]=2,"Fringe",IF(tbl_SalAccts[[#This Row],[Value]]=3,"Other","")))</f>
        <v>Other</v>
      </c>
    </row>
    <row r="561" spans="2:5">
      <c r="B561">
        <v>628009</v>
      </c>
      <c r="C561" t="s">
        <v>685</v>
      </c>
      <c r="D561">
        <v>3</v>
      </c>
      <c r="E561" t="str">
        <f>IF(tbl_SalAccts[[#This Row],[Value]]=1,"Salary",IF(tbl_SalAccts[[#This Row],[Value]]=2,"Fringe",IF(tbl_SalAccts[[#This Row],[Value]]=3,"Other","")))</f>
        <v>Other</v>
      </c>
    </row>
    <row r="562" spans="2:5">
      <c r="B562">
        <v>628010</v>
      </c>
      <c r="C562" t="s">
        <v>686</v>
      </c>
      <c r="D562">
        <v>3</v>
      </c>
      <c r="E562" t="str">
        <f>IF(tbl_SalAccts[[#This Row],[Value]]=1,"Salary",IF(tbl_SalAccts[[#This Row],[Value]]=2,"Fringe",IF(tbl_SalAccts[[#This Row],[Value]]=3,"Other","")))</f>
        <v>Other</v>
      </c>
    </row>
    <row r="563" spans="2:5">
      <c r="B563">
        <v>632000</v>
      </c>
      <c r="C563" t="s">
        <v>687</v>
      </c>
      <c r="D563">
        <v>3</v>
      </c>
      <c r="E563" t="str">
        <f>IF(tbl_SalAccts[[#This Row],[Value]]=1,"Salary",IF(tbl_SalAccts[[#This Row],[Value]]=2,"Fringe",IF(tbl_SalAccts[[#This Row],[Value]]=3,"Other","")))</f>
        <v>Other</v>
      </c>
    </row>
    <row r="564" spans="2:5">
      <c r="B564">
        <v>661001</v>
      </c>
      <c r="C564" t="s">
        <v>688</v>
      </c>
      <c r="D564">
        <v>3</v>
      </c>
      <c r="E564" t="str">
        <f>IF(tbl_SalAccts[[#This Row],[Value]]=1,"Salary",IF(tbl_SalAccts[[#This Row],[Value]]=2,"Fringe",IF(tbl_SalAccts[[#This Row],[Value]]=3,"Other","")))</f>
        <v>Other</v>
      </c>
    </row>
    <row r="565" spans="2:5">
      <c r="B565">
        <v>661002</v>
      </c>
      <c r="C565" t="s">
        <v>689</v>
      </c>
      <c r="D565">
        <v>3</v>
      </c>
      <c r="E565" t="str">
        <f>IF(tbl_SalAccts[[#This Row],[Value]]=1,"Salary",IF(tbl_SalAccts[[#This Row],[Value]]=2,"Fringe",IF(tbl_SalAccts[[#This Row],[Value]]=3,"Other","")))</f>
        <v>Other</v>
      </c>
    </row>
    <row r="566" spans="2:5">
      <c r="B566">
        <v>661003</v>
      </c>
      <c r="C566" t="s">
        <v>690</v>
      </c>
      <c r="D566">
        <v>3</v>
      </c>
      <c r="E566" t="str">
        <f>IF(tbl_SalAccts[[#This Row],[Value]]=1,"Salary",IF(tbl_SalAccts[[#This Row],[Value]]=2,"Fringe",IF(tbl_SalAccts[[#This Row],[Value]]=3,"Other","")))</f>
        <v>Other</v>
      </c>
    </row>
    <row r="567" spans="2:5">
      <c r="B567">
        <v>661004</v>
      </c>
      <c r="C567" t="s">
        <v>691</v>
      </c>
      <c r="D567">
        <v>3</v>
      </c>
      <c r="E567" t="str">
        <f>IF(tbl_SalAccts[[#This Row],[Value]]=1,"Salary",IF(tbl_SalAccts[[#This Row],[Value]]=2,"Fringe",IF(tbl_SalAccts[[#This Row],[Value]]=3,"Other","")))</f>
        <v>Other</v>
      </c>
    </row>
    <row r="568" spans="2:5">
      <c r="B568">
        <v>661005</v>
      </c>
      <c r="C568" t="s">
        <v>692</v>
      </c>
      <c r="D568">
        <v>3</v>
      </c>
      <c r="E568" t="str">
        <f>IF(tbl_SalAccts[[#This Row],[Value]]=1,"Salary",IF(tbl_SalAccts[[#This Row],[Value]]=2,"Fringe",IF(tbl_SalAccts[[#This Row],[Value]]=3,"Other","")))</f>
        <v>Other</v>
      </c>
    </row>
    <row r="569" spans="2:5">
      <c r="B569">
        <v>661006</v>
      </c>
      <c r="C569" t="s">
        <v>693</v>
      </c>
      <c r="D569">
        <v>3</v>
      </c>
      <c r="E569" t="str">
        <f>IF(tbl_SalAccts[[#This Row],[Value]]=1,"Salary",IF(tbl_SalAccts[[#This Row],[Value]]=2,"Fringe",IF(tbl_SalAccts[[#This Row],[Value]]=3,"Other","")))</f>
        <v>Other</v>
      </c>
    </row>
    <row r="570" spans="2:5">
      <c r="B570">
        <v>661008</v>
      </c>
      <c r="C570" t="s">
        <v>694</v>
      </c>
      <c r="D570">
        <v>3</v>
      </c>
      <c r="E570" t="str">
        <f>IF(tbl_SalAccts[[#This Row],[Value]]=1,"Salary",IF(tbl_SalAccts[[#This Row],[Value]]=2,"Fringe",IF(tbl_SalAccts[[#This Row],[Value]]=3,"Other","")))</f>
        <v>Other</v>
      </c>
    </row>
    <row r="571" spans="2:5">
      <c r="B571">
        <v>661009</v>
      </c>
      <c r="C571" t="s">
        <v>695</v>
      </c>
      <c r="D571">
        <v>3</v>
      </c>
      <c r="E571" t="str">
        <f>IF(tbl_SalAccts[[#This Row],[Value]]=1,"Salary",IF(tbl_SalAccts[[#This Row],[Value]]=2,"Fringe",IF(tbl_SalAccts[[#This Row],[Value]]=3,"Other","")))</f>
        <v>Other</v>
      </c>
    </row>
    <row r="572" spans="2:5">
      <c r="B572">
        <v>661010</v>
      </c>
      <c r="C572" t="s">
        <v>696</v>
      </c>
      <c r="D572">
        <v>3</v>
      </c>
      <c r="E572" t="str">
        <f>IF(tbl_SalAccts[[#This Row],[Value]]=1,"Salary",IF(tbl_SalAccts[[#This Row],[Value]]=2,"Fringe",IF(tbl_SalAccts[[#This Row],[Value]]=3,"Other","")))</f>
        <v>Other</v>
      </c>
    </row>
    <row r="573" spans="2:5">
      <c r="B573">
        <v>661020</v>
      </c>
      <c r="C573" t="s">
        <v>697</v>
      </c>
      <c r="D573">
        <v>3</v>
      </c>
      <c r="E573" t="str">
        <f>IF(tbl_SalAccts[[#This Row],[Value]]=1,"Salary",IF(tbl_SalAccts[[#This Row],[Value]]=2,"Fringe",IF(tbl_SalAccts[[#This Row],[Value]]=3,"Other","")))</f>
        <v>Other</v>
      </c>
    </row>
    <row r="574" spans="2:5">
      <c r="B574">
        <v>661030</v>
      </c>
      <c r="C574" t="s">
        <v>698</v>
      </c>
      <c r="D574">
        <v>3</v>
      </c>
      <c r="E574" t="str">
        <f>IF(tbl_SalAccts[[#This Row],[Value]]=1,"Salary",IF(tbl_SalAccts[[#This Row],[Value]]=2,"Fringe",IF(tbl_SalAccts[[#This Row],[Value]]=3,"Other","")))</f>
        <v>Other</v>
      </c>
    </row>
    <row r="575" spans="2:5">
      <c r="B575">
        <v>661038</v>
      </c>
      <c r="C575" t="s">
        <v>699</v>
      </c>
      <c r="D575">
        <v>3</v>
      </c>
      <c r="E575" t="str">
        <f>IF(tbl_SalAccts[[#This Row],[Value]]=1,"Salary",IF(tbl_SalAccts[[#This Row],[Value]]=2,"Fringe",IF(tbl_SalAccts[[#This Row],[Value]]=3,"Other","")))</f>
        <v>Other</v>
      </c>
    </row>
    <row r="576" spans="2:5">
      <c r="B576">
        <v>661041</v>
      </c>
      <c r="C576" t="s">
        <v>700</v>
      </c>
      <c r="D576">
        <v>3</v>
      </c>
      <c r="E576" t="str">
        <f>IF(tbl_SalAccts[[#This Row],[Value]]=1,"Salary",IF(tbl_SalAccts[[#This Row],[Value]]=2,"Fringe",IF(tbl_SalAccts[[#This Row],[Value]]=3,"Other","")))</f>
        <v>Other</v>
      </c>
    </row>
    <row r="577" spans="2:5">
      <c r="B577">
        <v>661051</v>
      </c>
      <c r="C577" t="s">
        <v>701</v>
      </c>
      <c r="D577">
        <v>3</v>
      </c>
      <c r="E577" t="str">
        <f>IF(tbl_SalAccts[[#This Row],[Value]]=1,"Salary",IF(tbl_SalAccts[[#This Row],[Value]]=2,"Fringe",IF(tbl_SalAccts[[#This Row],[Value]]=3,"Other","")))</f>
        <v>Other</v>
      </c>
    </row>
    <row r="578" spans="2:5">
      <c r="B578">
        <v>661052</v>
      </c>
      <c r="C578" t="s">
        <v>702</v>
      </c>
      <c r="D578">
        <v>3</v>
      </c>
      <c r="E578" t="str">
        <f>IF(tbl_SalAccts[[#This Row],[Value]]=1,"Salary",IF(tbl_SalAccts[[#This Row],[Value]]=2,"Fringe",IF(tbl_SalAccts[[#This Row],[Value]]=3,"Other","")))</f>
        <v>Other</v>
      </c>
    </row>
    <row r="579" spans="2:5">
      <c r="B579">
        <v>661071</v>
      </c>
      <c r="C579" t="s">
        <v>703</v>
      </c>
      <c r="D579">
        <v>3</v>
      </c>
      <c r="E579" t="str">
        <f>IF(tbl_SalAccts[[#This Row],[Value]]=1,"Salary",IF(tbl_SalAccts[[#This Row],[Value]]=2,"Fringe",IF(tbl_SalAccts[[#This Row],[Value]]=3,"Other","")))</f>
        <v>Other</v>
      </c>
    </row>
    <row r="580" spans="2:5">
      <c r="B580">
        <v>661080</v>
      </c>
      <c r="C580" t="s">
        <v>704</v>
      </c>
      <c r="D580">
        <v>3</v>
      </c>
      <c r="E580" t="str">
        <f>IF(tbl_SalAccts[[#This Row],[Value]]=1,"Salary",IF(tbl_SalAccts[[#This Row],[Value]]=2,"Fringe",IF(tbl_SalAccts[[#This Row],[Value]]=3,"Other","")))</f>
        <v>Other</v>
      </c>
    </row>
    <row r="581" spans="2:5">
      <c r="B581">
        <v>661081</v>
      </c>
      <c r="C581" t="s">
        <v>705</v>
      </c>
      <c r="D581">
        <v>3</v>
      </c>
      <c r="E581" t="str">
        <f>IF(tbl_SalAccts[[#This Row],[Value]]=1,"Salary",IF(tbl_SalAccts[[#This Row],[Value]]=2,"Fringe",IF(tbl_SalAccts[[#This Row],[Value]]=3,"Other","")))</f>
        <v>Other</v>
      </c>
    </row>
    <row r="582" spans="2:5">
      <c r="B582">
        <v>661101</v>
      </c>
      <c r="C582" t="s">
        <v>706</v>
      </c>
      <c r="D582">
        <v>3</v>
      </c>
      <c r="E582" t="str">
        <f>IF(tbl_SalAccts[[#This Row],[Value]]=1,"Salary",IF(tbl_SalAccts[[#This Row],[Value]]=2,"Fringe",IF(tbl_SalAccts[[#This Row],[Value]]=3,"Other","")))</f>
        <v>Other</v>
      </c>
    </row>
    <row r="583" spans="2:5">
      <c r="B583">
        <v>661102</v>
      </c>
      <c r="C583" t="s">
        <v>707</v>
      </c>
      <c r="D583">
        <v>3</v>
      </c>
      <c r="E583" t="str">
        <f>IF(tbl_SalAccts[[#This Row],[Value]]=1,"Salary",IF(tbl_SalAccts[[#This Row],[Value]]=2,"Fringe",IF(tbl_SalAccts[[#This Row],[Value]]=3,"Other","")))</f>
        <v>Other</v>
      </c>
    </row>
    <row r="584" spans="2:5">
      <c r="B584">
        <v>661103</v>
      </c>
      <c r="C584" t="s">
        <v>708</v>
      </c>
      <c r="D584">
        <v>3</v>
      </c>
      <c r="E584" t="str">
        <f>IF(tbl_SalAccts[[#This Row],[Value]]=1,"Salary",IF(tbl_SalAccts[[#This Row],[Value]]=2,"Fringe",IF(tbl_SalAccts[[#This Row],[Value]]=3,"Other","")))</f>
        <v>Other</v>
      </c>
    </row>
    <row r="585" spans="2:5">
      <c r="B585">
        <v>663030</v>
      </c>
      <c r="C585" t="s">
        <v>709</v>
      </c>
      <c r="D585">
        <v>3</v>
      </c>
      <c r="E585" t="str">
        <f>IF(tbl_SalAccts[[#This Row],[Value]]=1,"Salary",IF(tbl_SalAccts[[#This Row],[Value]]=2,"Fringe",IF(tbl_SalAccts[[#This Row],[Value]]=3,"Other","")))</f>
        <v>Other</v>
      </c>
    </row>
    <row r="586" spans="2:5">
      <c r="B586">
        <v>663046</v>
      </c>
      <c r="C586" t="s">
        <v>710</v>
      </c>
      <c r="D586">
        <v>3</v>
      </c>
      <c r="E586" t="str">
        <f>IF(tbl_SalAccts[[#This Row],[Value]]=1,"Salary",IF(tbl_SalAccts[[#This Row],[Value]]=2,"Fringe",IF(tbl_SalAccts[[#This Row],[Value]]=3,"Other","")))</f>
        <v>Other</v>
      </c>
    </row>
    <row r="587" spans="2:5">
      <c r="B587">
        <v>663047</v>
      </c>
      <c r="C587" t="s">
        <v>711</v>
      </c>
      <c r="D587">
        <v>3</v>
      </c>
      <c r="E587" t="str">
        <f>IF(tbl_SalAccts[[#This Row],[Value]]=1,"Salary",IF(tbl_SalAccts[[#This Row],[Value]]=2,"Fringe",IF(tbl_SalAccts[[#This Row],[Value]]=3,"Other","")))</f>
        <v>Other</v>
      </c>
    </row>
    <row r="588" spans="2:5">
      <c r="B588">
        <v>665002</v>
      </c>
      <c r="C588" t="s">
        <v>712</v>
      </c>
      <c r="D588">
        <v>3</v>
      </c>
      <c r="E588" t="str">
        <f>IF(tbl_SalAccts[[#This Row],[Value]]=1,"Salary",IF(tbl_SalAccts[[#This Row],[Value]]=2,"Fringe",IF(tbl_SalAccts[[#This Row],[Value]]=3,"Other","")))</f>
        <v>Other</v>
      </c>
    </row>
    <row r="589" spans="2:5">
      <c r="B589">
        <v>665004</v>
      </c>
      <c r="C589" t="s">
        <v>713</v>
      </c>
      <c r="D589">
        <v>3</v>
      </c>
      <c r="E589" t="str">
        <f>IF(tbl_SalAccts[[#This Row],[Value]]=1,"Salary",IF(tbl_SalAccts[[#This Row],[Value]]=2,"Fringe",IF(tbl_SalAccts[[#This Row],[Value]]=3,"Other","")))</f>
        <v>Other</v>
      </c>
    </row>
    <row r="590" spans="2:5">
      <c r="B590">
        <v>665005</v>
      </c>
      <c r="C590" t="s">
        <v>714</v>
      </c>
      <c r="D590">
        <v>3</v>
      </c>
      <c r="E590" t="str">
        <f>IF(tbl_SalAccts[[#This Row],[Value]]=1,"Salary",IF(tbl_SalAccts[[#This Row],[Value]]=2,"Fringe",IF(tbl_SalAccts[[#This Row],[Value]]=3,"Other","")))</f>
        <v>Other</v>
      </c>
    </row>
    <row r="591" spans="2:5">
      <c r="B591">
        <v>665006</v>
      </c>
      <c r="C591" t="s">
        <v>715</v>
      </c>
      <c r="D591">
        <v>3</v>
      </c>
      <c r="E591" t="str">
        <f>IF(tbl_SalAccts[[#This Row],[Value]]=1,"Salary",IF(tbl_SalAccts[[#This Row],[Value]]=2,"Fringe",IF(tbl_SalAccts[[#This Row],[Value]]=3,"Other","")))</f>
        <v>Other</v>
      </c>
    </row>
    <row r="592" spans="2:5">
      <c r="B592">
        <v>665007</v>
      </c>
      <c r="C592" t="s">
        <v>716</v>
      </c>
      <c r="D592">
        <v>3</v>
      </c>
      <c r="E592" t="str">
        <f>IF(tbl_SalAccts[[#This Row],[Value]]=1,"Salary",IF(tbl_SalAccts[[#This Row],[Value]]=2,"Fringe",IF(tbl_SalAccts[[#This Row],[Value]]=3,"Other","")))</f>
        <v>Other</v>
      </c>
    </row>
    <row r="593" spans="2:5">
      <c r="B593">
        <v>665008</v>
      </c>
      <c r="C593" t="s">
        <v>717</v>
      </c>
      <c r="D593">
        <v>3</v>
      </c>
      <c r="E593" t="str">
        <f>IF(tbl_SalAccts[[#This Row],[Value]]=1,"Salary",IF(tbl_SalAccts[[#This Row],[Value]]=2,"Fringe",IF(tbl_SalAccts[[#This Row],[Value]]=3,"Other","")))</f>
        <v>Other</v>
      </c>
    </row>
    <row r="594" spans="2:5">
      <c r="B594">
        <v>665011</v>
      </c>
      <c r="C594" t="s">
        <v>718</v>
      </c>
      <c r="D594">
        <v>3</v>
      </c>
      <c r="E594" t="str">
        <f>IF(tbl_SalAccts[[#This Row],[Value]]=1,"Salary",IF(tbl_SalAccts[[#This Row],[Value]]=2,"Fringe",IF(tbl_SalAccts[[#This Row],[Value]]=3,"Other","")))</f>
        <v>Other</v>
      </c>
    </row>
    <row r="595" spans="2:5">
      <c r="B595">
        <v>675000</v>
      </c>
      <c r="C595" t="s">
        <v>719</v>
      </c>
      <c r="D595">
        <v>3</v>
      </c>
      <c r="E595" t="str">
        <f>IF(tbl_SalAccts[[#This Row],[Value]]=1,"Salary",IF(tbl_SalAccts[[#This Row],[Value]]=2,"Fringe",IF(tbl_SalAccts[[#This Row],[Value]]=3,"Other","")))</f>
        <v>Other</v>
      </c>
    </row>
    <row r="596" spans="2:5">
      <c r="B596">
        <v>678000</v>
      </c>
      <c r="C596" t="s">
        <v>720</v>
      </c>
      <c r="D596">
        <v>3</v>
      </c>
      <c r="E596" t="str">
        <f>IF(tbl_SalAccts[[#This Row],[Value]]=1,"Salary",IF(tbl_SalAccts[[#This Row],[Value]]=2,"Fringe",IF(tbl_SalAccts[[#This Row],[Value]]=3,"Other","")))</f>
        <v>Other</v>
      </c>
    </row>
    <row r="597" spans="2:5">
      <c r="B597">
        <v>679000</v>
      </c>
      <c r="C597" t="s">
        <v>721</v>
      </c>
      <c r="D597">
        <v>3</v>
      </c>
      <c r="E597" t="str">
        <f>IF(tbl_SalAccts[[#This Row],[Value]]=1,"Salary",IF(tbl_SalAccts[[#This Row],[Value]]=2,"Fringe",IF(tbl_SalAccts[[#This Row],[Value]]=3,"Other","")))</f>
        <v>Other</v>
      </c>
    </row>
    <row r="598" spans="2:5">
      <c r="B598">
        <v>690100</v>
      </c>
      <c r="C598" t="s">
        <v>722</v>
      </c>
      <c r="D598">
        <v>3</v>
      </c>
      <c r="E598" t="str">
        <f>IF(tbl_SalAccts[[#This Row],[Value]]=1,"Salary",IF(tbl_SalAccts[[#This Row],[Value]]=2,"Fringe",IF(tbl_SalAccts[[#This Row],[Value]]=3,"Other","")))</f>
        <v>Other</v>
      </c>
    </row>
    <row r="599" spans="2:5">
      <c r="B599">
        <v>690110</v>
      </c>
      <c r="C599" t="s">
        <v>723</v>
      </c>
      <c r="D599">
        <v>3</v>
      </c>
      <c r="E599" t="str">
        <f>IF(tbl_SalAccts[[#This Row],[Value]]=1,"Salary",IF(tbl_SalAccts[[#This Row],[Value]]=2,"Fringe",IF(tbl_SalAccts[[#This Row],[Value]]=3,"Other","")))</f>
        <v>Other</v>
      </c>
    </row>
    <row r="600" spans="2:5">
      <c r="B600">
        <v>690120</v>
      </c>
      <c r="C600" t="s">
        <v>724</v>
      </c>
      <c r="D600">
        <v>3</v>
      </c>
      <c r="E600" t="str">
        <f>IF(tbl_SalAccts[[#This Row],[Value]]=1,"Salary",IF(tbl_SalAccts[[#This Row],[Value]]=2,"Fringe",IF(tbl_SalAccts[[#This Row],[Value]]=3,"Other","")))</f>
        <v>Other</v>
      </c>
    </row>
    <row r="601" spans="2:5">
      <c r="B601">
        <v>690130</v>
      </c>
      <c r="C601" t="s">
        <v>725</v>
      </c>
      <c r="D601">
        <v>3</v>
      </c>
      <c r="E601" t="str">
        <f>IF(tbl_SalAccts[[#This Row],[Value]]=1,"Salary",IF(tbl_SalAccts[[#This Row],[Value]]=2,"Fringe",IF(tbl_SalAccts[[#This Row],[Value]]=3,"Other","")))</f>
        <v>Other</v>
      </c>
    </row>
    <row r="602" spans="2:5">
      <c r="B602">
        <v>690140</v>
      </c>
      <c r="C602" t="s">
        <v>726</v>
      </c>
      <c r="D602">
        <v>3</v>
      </c>
      <c r="E602" t="str">
        <f>IF(tbl_SalAccts[[#This Row],[Value]]=1,"Salary",IF(tbl_SalAccts[[#This Row],[Value]]=2,"Fringe",IF(tbl_SalAccts[[#This Row],[Value]]=3,"Other","")))</f>
        <v>Other</v>
      </c>
    </row>
    <row r="603" spans="2:5">
      <c r="B603">
        <v>690150</v>
      </c>
      <c r="C603" t="s">
        <v>727</v>
      </c>
      <c r="D603">
        <v>3</v>
      </c>
      <c r="E603" t="str">
        <f>IF(tbl_SalAccts[[#This Row],[Value]]=1,"Salary",IF(tbl_SalAccts[[#This Row],[Value]]=2,"Fringe",IF(tbl_SalAccts[[#This Row],[Value]]=3,"Other","")))</f>
        <v>Other</v>
      </c>
    </row>
    <row r="604" spans="2:5">
      <c r="B604">
        <v>690160</v>
      </c>
      <c r="C604" t="s">
        <v>728</v>
      </c>
      <c r="D604">
        <v>3</v>
      </c>
      <c r="E604" t="str">
        <f>IF(tbl_SalAccts[[#This Row],[Value]]=1,"Salary",IF(tbl_SalAccts[[#This Row],[Value]]=2,"Fringe",IF(tbl_SalAccts[[#This Row],[Value]]=3,"Other","")))</f>
        <v>Other</v>
      </c>
    </row>
    <row r="605" spans="2:5">
      <c r="B605">
        <v>690170</v>
      </c>
      <c r="C605" t="s">
        <v>729</v>
      </c>
      <c r="D605">
        <v>3</v>
      </c>
      <c r="E605" t="str">
        <f>IF(tbl_SalAccts[[#This Row],[Value]]=1,"Salary",IF(tbl_SalAccts[[#This Row],[Value]]=2,"Fringe",IF(tbl_SalAccts[[#This Row],[Value]]=3,"Other","")))</f>
        <v>Other</v>
      </c>
    </row>
    <row r="606" spans="2:5">
      <c r="B606">
        <v>690180</v>
      </c>
      <c r="C606" t="s">
        <v>730</v>
      </c>
      <c r="D606">
        <v>3</v>
      </c>
      <c r="E606" t="str">
        <f>IF(tbl_SalAccts[[#This Row],[Value]]=1,"Salary",IF(tbl_SalAccts[[#This Row],[Value]]=2,"Fringe",IF(tbl_SalAccts[[#This Row],[Value]]=3,"Other","")))</f>
        <v>Other</v>
      </c>
    </row>
    <row r="607" spans="2:5">
      <c r="B607">
        <v>690190</v>
      </c>
      <c r="C607" t="s">
        <v>731</v>
      </c>
      <c r="D607">
        <v>3</v>
      </c>
      <c r="E607" t="str">
        <f>IF(tbl_SalAccts[[#This Row],[Value]]=1,"Salary",IF(tbl_SalAccts[[#This Row],[Value]]=2,"Fringe",IF(tbl_SalAccts[[#This Row],[Value]]=3,"Other","")))</f>
        <v>Other</v>
      </c>
    </row>
    <row r="608" spans="2:5">
      <c r="B608">
        <v>690191</v>
      </c>
      <c r="C608" t="s">
        <v>732</v>
      </c>
      <c r="D608">
        <v>3</v>
      </c>
      <c r="E608" t="str">
        <f>IF(tbl_SalAccts[[#This Row],[Value]]=1,"Salary",IF(tbl_SalAccts[[#This Row],[Value]]=2,"Fringe",IF(tbl_SalAccts[[#This Row],[Value]]=3,"Other","")))</f>
        <v>Other</v>
      </c>
    </row>
    <row r="609" spans="2:5">
      <c r="B609">
        <v>690220</v>
      </c>
      <c r="C609" t="s">
        <v>733</v>
      </c>
      <c r="D609">
        <v>3</v>
      </c>
      <c r="E609" t="str">
        <f>IF(tbl_SalAccts[[#This Row],[Value]]=1,"Salary",IF(tbl_SalAccts[[#This Row],[Value]]=2,"Fringe",IF(tbl_SalAccts[[#This Row],[Value]]=3,"Other","")))</f>
        <v>Other</v>
      </c>
    </row>
    <row r="610" spans="2:5">
      <c r="B610">
        <v>690400</v>
      </c>
      <c r="C610" t="s">
        <v>734</v>
      </c>
      <c r="D610">
        <v>3</v>
      </c>
      <c r="E610" t="str">
        <f>IF(tbl_SalAccts[[#This Row],[Value]]=1,"Salary",IF(tbl_SalAccts[[#This Row],[Value]]=2,"Fringe",IF(tbl_SalAccts[[#This Row],[Value]]=3,"Other","")))</f>
        <v>Other</v>
      </c>
    </row>
    <row r="611" spans="2:5">
      <c r="B611">
        <v>690500</v>
      </c>
      <c r="C611" t="s">
        <v>735</v>
      </c>
      <c r="D611">
        <v>3</v>
      </c>
      <c r="E611" t="str">
        <f>IF(tbl_SalAccts[[#This Row],[Value]]=1,"Salary",IF(tbl_SalAccts[[#This Row],[Value]]=2,"Fringe",IF(tbl_SalAccts[[#This Row],[Value]]=3,"Other","")))</f>
        <v>Other</v>
      </c>
    </row>
    <row r="612" spans="2:5">
      <c r="B612">
        <v>690700</v>
      </c>
      <c r="C612" t="s">
        <v>736</v>
      </c>
      <c r="D612">
        <v>3</v>
      </c>
      <c r="E612" t="str">
        <f>IF(tbl_SalAccts[[#This Row],[Value]]=1,"Salary",IF(tbl_SalAccts[[#This Row],[Value]]=2,"Fringe",IF(tbl_SalAccts[[#This Row],[Value]]=3,"Other","")))</f>
        <v>Other</v>
      </c>
    </row>
    <row r="613" spans="2:5">
      <c r="B613">
        <v>690800</v>
      </c>
      <c r="C613" t="s">
        <v>737</v>
      </c>
      <c r="D613">
        <v>3</v>
      </c>
      <c r="E613" t="str">
        <f>IF(tbl_SalAccts[[#This Row],[Value]]=1,"Salary",IF(tbl_SalAccts[[#This Row],[Value]]=2,"Fringe",IF(tbl_SalAccts[[#This Row],[Value]]=3,"Other","")))</f>
        <v>Other</v>
      </c>
    </row>
    <row r="614" spans="2:5">
      <c r="B614">
        <v>691000</v>
      </c>
      <c r="C614" t="s">
        <v>738</v>
      </c>
      <c r="D614">
        <v>3</v>
      </c>
      <c r="E614" t="str">
        <f>IF(tbl_SalAccts[[#This Row],[Value]]=1,"Salary",IF(tbl_SalAccts[[#This Row],[Value]]=2,"Fringe",IF(tbl_SalAccts[[#This Row],[Value]]=3,"Other","")))</f>
        <v>Other</v>
      </c>
    </row>
    <row r="615" spans="2:5">
      <c r="B615">
        <v>691100</v>
      </c>
      <c r="C615" t="s">
        <v>739</v>
      </c>
      <c r="D615">
        <v>3</v>
      </c>
      <c r="E615" t="str">
        <f>IF(tbl_SalAccts[[#This Row],[Value]]=1,"Salary",IF(tbl_SalAccts[[#This Row],[Value]]=2,"Fringe",IF(tbl_SalAccts[[#This Row],[Value]]=3,"Other","")))</f>
        <v>Other</v>
      </c>
    </row>
    <row r="616" spans="2:5">
      <c r="B616">
        <v>691200</v>
      </c>
      <c r="C616" t="s">
        <v>740</v>
      </c>
      <c r="D616">
        <v>3</v>
      </c>
      <c r="E616" t="str">
        <f>IF(tbl_SalAccts[[#This Row],[Value]]=1,"Salary",IF(tbl_SalAccts[[#This Row],[Value]]=2,"Fringe",IF(tbl_SalAccts[[#This Row],[Value]]=3,"Other","")))</f>
        <v>Other</v>
      </c>
    </row>
    <row r="617" spans="2:5">
      <c r="B617">
        <v>691202</v>
      </c>
      <c r="C617" t="s">
        <v>741</v>
      </c>
      <c r="D617">
        <v>3</v>
      </c>
      <c r="E617" t="str">
        <f>IF(tbl_SalAccts[[#This Row],[Value]]=1,"Salary",IF(tbl_SalAccts[[#This Row],[Value]]=2,"Fringe",IF(tbl_SalAccts[[#This Row],[Value]]=3,"Other","")))</f>
        <v>Other</v>
      </c>
    </row>
    <row r="618" spans="2:5">
      <c r="B618">
        <v>691203</v>
      </c>
      <c r="C618" t="s">
        <v>742</v>
      </c>
      <c r="D618">
        <v>3</v>
      </c>
      <c r="E618" t="str">
        <f>IF(tbl_SalAccts[[#This Row],[Value]]=1,"Salary",IF(tbl_SalAccts[[#This Row],[Value]]=2,"Fringe",IF(tbl_SalAccts[[#This Row],[Value]]=3,"Other","")))</f>
        <v>Other</v>
      </c>
    </row>
    <row r="619" spans="2:5">
      <c r="B619">
        <v>691510</v>
      </c>
      <c r="C619" t="s">
        <v>743</v>
      </c>
      <c r="D619">
        <v>3</v>
      </c>
      <c r="E619" t="str">
        <f>IF(tbl_SalAccts[[#This Row],[Value]]=1,"Salary",IF(tbl_SalAccts[[#This Row],[Value]]=2,"Fringe",IF(tbl_SalAccts[[#This Row],[Value]]=3,"Other","")))</f>
        <v>Other</v>
      </c>
    </row>
    <row r="620" spans="2:5">
      <c r="B620">
        <v>691520</v>
      </c>
      <c r="C620" t="s">
        <v>744</v>
      </c>
      <c r="D620">
        <v>3</v>
      </c>
      <c r="E620" t="str">
        <f>IF(tbl_SalAccts[[#This Row],[Value]]=1,"Salary",IF(tbl_SalAccts[[#This Row],[Value]]=2,"Fringe",IF(tbl_SalAccts[[#This Row],[Value]]=3,"Other","")))</f>
        <v>Other</v>
      </c>
    </row>
    <row r="621" spans="2:5">
      <c r="B621">
        <v>691530</v>
      </c>
      <c r="C621" t="s">
        <v>745</v>
      </c>
      <c r="D621">
        <v>3</v>
      </c>
      <c r="E621" t="str">
        <f>IF(tbl_SalAccts[[#This Row],[Value]]=1,"Salary",IF(tbl_SalAccts[[#This Row],[Value]]=2,"Fringe",IF(tbl_SalAccts[[#This Row],[Value]]=3,"Other","")))</f>
        <v>Other</v>
      </c>
    </row>
    <row r="622" spans="2:5">
      <c r="B622">
        <v>691535</v>
      </c>
      <c r="C622" t="s">
        <v>746</v>
      </c>
      <c r="D622">
        <v>3</v>
      </c>
      <c r="E622" t="str">
        <f>IF(tbl_SalAccts[[#This Row],[Value]]=1,"Salary",IF(tbl_SalAccts[[#This Row],[Value]]=2,"Fringe",IF(tbl_SalAccts[[#This Row],[Value]]=3,"Other","")))</f>
        <v>Other</v>
      </c>
    </row>
    <row r="623" spans="2:5">
      <c r="B623">
        <v>691560</v>
      </c>
      <c r="C623" t="s">
        <v>747</v>
      </c>
      <c r="D623">
        <v>3</v>
      </c>
      <c r="E623" t="str">
        <f>IF(tbl_SalAccts[[#This Row],[Value]]=1,"Salary",IF(tbl_SalAccts[[#This Row],[Value]]=2,"Fringe",IF(tbl_SalAccts[[#This Row],[Value]]=3,"Other","")))</f>
        <v>Other</v>
      </c>
    </row>
    <row r="624" spans="2:5">
      <c r="B624">
        <v>691570</v>
      </c>
      <c r="C624" t="s">
        <v>748</v>
      </c>
      <c r="D624">
        <v>3</v>
      </c>
      <c r="E624" t="str">
        <f>IF(tbl_SalAccts[[#This Row],[Value]]=1,"Salary",IF(tbl_SalAccts[[#This Row],[Value]]=2,"Fringe",IF(tbl_SalAccts[[#This Row],[Value]]=3,"Other","")))</f>
        <v>Other</v>
      </c>
    </row>
    <row r="625" spans="2:5">
      <c r="B625">
        <v>691800</v>
      </c>
      <c r="C625" t="s">
        <v>749</v>
      </c>
      <c r="D625">
        <v>3</v>
      </c>
      <c r="E625" t="str">
        <f>IF(tbl_SalAccts[[#This Row],[Value]]=1,"Salary",IF(tbl_SalAccts[[#This Row],[Value]]=2,"Fringe",IF(tbl_SalAccts[[#This Row],[Value]]=3,"Other","")))</f>
        <v>Other</v>
      </c>
    </row>
    <row r="626" spans="2:5">
      <c r="B626">
        <v>691903</v>
      </c>
      <c r="C626" t="s">
        <v>750</v>
      </c>
      <c r="D626">
        <v>3</v>
      </c>
      <c r="E626" t="str">
        <f>IF(tbl_SalAccts[[#This Row],[Value]]=1,"Salary",IF(tbl_SalAccts[[#This Row],[Value]]=2,"Fringe",IF(tbl_SalAccts[[#This Row],[Value]]=3,"Other","")))</f>
        <v>Other</v>
      </c>
    </row>
    <row r="627" spans="2:5">
      <c r="B627">
        <v>691904</v>
      </c>
      <c r="C627" t="s">
        <v>751</v>
      </c>
      <c r="D627">
        <v>3</v>
      </c>
      <c r="E627" t="str">
        <f>IF(tbl_SalAccts[[#This Row],[Value]]=1,"Salary",IF(tbl_SalAccts[[#This Row],[Value]]=2,"Fringe",IF(tbl_SalAccts[[#This Row],[Value]]=3,"Other","")))</f>
        <v>Other</v>
      </c>
    </row>
    <row r="628" spans="2:5">
      <c r="B628">
        <v>691905</v>
      </c>
      <c r="C628" t="s">
        <v>752</v>
      </c>
      <c r="D628">
        <v>3</v>
      </c>
      <c r="E628" t="str">
        <f>IF(tbl_SalAccts[[#This Row],[Value]]=1,"Salary",IF(tbl_SalAccts[[#This Row],[Value]]=2,"Fringe",IF(tbl_SalAccts[[#This Row],[Value]]=3,"Other","")))</f>
        <v>Other</v>
      </c>
    </row>
    <row r="629" spans="2:5">
      <c r="B629">
        <v>691906</v>
      </c>
      <c r="C629" t="s">
        <v>753</v>
      </c>
      <c r="D629">
        <v>3</v>
      </c>
      <c r="E629" t="str">
        <f>IF(tbl_SalAccts[[#This Row],[Value]]=1,"Salary",IF(tbl_SalAccts[[#This Row],[Value]]=2,"Fringe",IF(tbl_SalAccts[[#This Row],[Value]]=3,"Other","")))</f>
        <v>Other</v>
      </c>
    </row>
    <row r="630" spans="2:5">
      <c r="B630">
        <v>691907</v>
      </c>
      <c r="C630" t="s">
        <v>754</v>
      </c>
      <c r="D630">
        <v>3</v>
      </c>
      <c r="E630" t="str">
        <f>IF(tbl_SalAccts[[#This Row],[Value]]=1,"Salary",IF(tbl_SalAccts[[#This Row],[Value]]=2,"Fringe",IF(tbl_SalAccts[[#This Row],[Value]]=3,"Other","")))</f>
        <v>Other</v>
      </c>
    </row>
    <row r="631" spans="2:5">
      <c r="B631">
        <v>692101</v>
      </c>
      <c r="C631" t="s">
        <v>755</v>
      </c>
      <c r="D631">
        <v>3</v>
      </c>
      <c r="E631" t="str">
        <f>IF(tbl_SalAccts[[#This Row],[Value]]=1,"Salary",IF(tbl_SalAccts[[#This Row],[Value]]=2,"Fringe",IF(tbl_SalAccts[[#This Row],[Value]]=3,"Other","")))</f>
        <v>Other</v>
      </c>
    </row>
    <row r="632" spans="2:5">
      <c r="B632">
        <v>692102</v>
      </c>
      <c r="C632" t="s">
        <v>756</v>
      </c>
      <c r="D632">
        <v>3</v>
      </c>
      <c r="E632" t="str">
        <f>IF(tbl_SalAccts[[#This Row],[Value]]=1,"Salary",IF(tbl_SalAccts[[#This Row],[Value]]=2,"Fringe",IF(tbl_SalAccts[[#This Row],[Value]]=3,"Other","")))</f>
        <v>Other</v>
      </c>
    </row>
    <row r="633" spans="2:5">
      <c r="B633">
        <v>692800</v>
      </c>
      <c r="C633" t="s">
        <v>757</v>
      </c>
      <c r="D633">
        <v>3</v>
      </c>
      <c r="E633" t="str">
        <f>IF(tbl_SalAccts[[#This Row],[Value]]=1,"Salary",IF(tbl_SalAccts[[#This Row],[Value]]=2,"Fringe",IF(tbl_SalAccts[[#This Row],[Value]]=3,"Other","")))</f>
        <v>Other</v>
      </c>
    </row>
    <row r="634" spans="2:5">
      <c r="B634">
        <v>692801</v>
      </c>
      <c r="C634" t="s">
        <v>758</v>
      </c>
      <c r="D634">
        <v>3</v>
      </c>
      <c r="E634" t="str">
        <f>IF(tbl_SalAccts[[#This Row],[Value]]=1,"Salary",IF(tbl_SalAccts[[#This Row],[Value]]=2,"Fringe",IF(tbl_SalAccts[[#This Row],[Value]]=3,"Other","")))</f>
        <v>Other</v>
      </c>
    </row>
    <row r="635" spans="2:5">
      <c r="B635">
        <v>692900</v>
      </c>
      <c r="C635" t="s">
        <v>759</v>
      </c>
      <c r="D635">
        <v>3</v>
      </c>
      <c r="E635" t="str">
        <f>IF(tbl_SalAccts[[#This Row],[Value]]=1,"Salary",IF(tbl_SalAccts[[#This Row],[Value]]=2,"Fringe",IF(tbl_SalAccts[[#This Row],[Value]]=3,"Other","")))</f>
        <v>Other</v>
      </c>
    </row>
    <row r="636" spans="2:5">
      <c r="B636">
        <v>693700</v>
      </c>
      <c r="C636" t="s">
        <v>760</v>
      </c>
      <c r="D636">
        <v>3</v>
      </c>
      <c r="E636" t="str">
        <f>IF(tbl_SalAccts[[#This Row],[Value]]=1,"Salary",IF(tbl_SalAccts[[#This Row],[Value]]=2,"Fringe",IF(tbl_SalAccts[[#This Row],[Value]]=3,"Other","")))</f>
        <v>Other</v>
      </c>
    </row>
    <row r="637" spans="2:5">
      <c r="B637">
        <v>694002</v>
      </c>
      <c r="C637" t="s">
        <v>761</v>
      </c>
      <c r="D637">
        <v>3</v>
      </c>
      <c r="E637" t="str">
        <f>IF(tbl_SalAccts[[#This Row],[Value]]=1,"Salary",IF(tbl_SalAccts[[#This Row],[Value]]=2,"Fringe",IF(tbl_SalAccts[[#This Row],[Value]]=3,"Other","")))</f>
        <v>Other</v>
      </c>
    </row>
    <row r="638" spans="2:5">
      <c r="B638">
        <v>694017</v>
      </c>
      <c r="C638" t="s">
        <v>762</v>
      </c>
      <c r="D638">
        <v>3</v>
      </c>
      <c r="E638" t="str">
        <f>IF(tbl_SalAccts[[#This Row],[Value]]=1,"Salary",IF(tbl_SalAccts[[#This Row],[Value]]=2,"Fringe",IF(tbl_SalAccts[[#This Row],[Value]]=3,"Other","")))</f>
        <v>Other</v>
      </c>
    </row>
    <row r="639" spans="2:5">
      <c r="B639">
        <v>694099</v>
      </c>
      <c r="C639" t="s">
        <v>763</v>
      </c>
      <c r="D639">
        <v>3</v>
      </c>
      <c r="E639" t="str">
        <f>IF(tbl_SalAccts[[#This Row],[Value]]=1,"Salary",IF(tbl_SalAccts[[#This Row],[Value]]=2,"Fringe",IF(tbl_SalAccts[[#This Row],[Value]]=3,"Other","")))</f>
        <v>Other</v>
      </c>
    </row>
    <row r="640" spans="2:5">
      <c r="B640">
        <v>694801</v>
      </c>
      <c r="C640" t="s">
        <v>764</v>
      </c>
      <c r="D640">
        <v>3</v>
      </c>
      <c r="E640" t="str">
        <f>IF(tbl_SalAccts[[#This Row],[Value]]=1,"Salary",IF(tbl_SalAccts[[#This Row],[Value]]=2,"Fringe",IF(tbl_SalAccts[[#This Row],[Value]]=3,"Other","")))</f>
        <v>Other</v>
      </c>
    </row>
    <row r="641" spans="2:5">
      <c r="B641">
        <v>694802</v>
      </c>
      <c r="C641" t="s">
        <v>765</v>
      </c>
      <c r="D641">
        <v>3</v>
      </c>
      <c r="E641" t="str">
        <f>IF(tbl_SalAccts[[#This Row],[Value]]=1,"Salary",IF(tbl_SalAccts[[#This Row],[Value]]=2,"Fringe",IF(tbl_SalAccts[[#This Row],[Value]]=3,"Other","")))</f>
        <v>Other</v>
      </c>
    </row>
    <row r="642" spans="2:5">
      <c r="B642">
        <v>695000</v>
      </c>
      <c r="C642" t="s">
        <v>766</v>
      </c>
      <c r="D642">
        <v>3</v>
      </c>
      <c r="E642" t="str">
        <f>IF(tbl_SalAccts[[#This Row],[Value]]=1,"Salary",IF(tbl_SalAccts[[#This Row],[Value]]=2,"Fringe",IF(tbl_SalAccts[[#This Row],[Value]]=3,"Other","")))</f>
        <v>Other</v>
      </c>
    </row>
    <row r="643" spans="2:5">
      <c r="B643">
        <v>697000</v>
      </c>
      <c r="C643" t="s">
        <v>767</v>
      </c>
      <c r="D643">
        <v>3</v>
      </c>
      <c r="E643" t="str">
        <f>IF(tbl_SalAccts[[#This Row],[Value]]=1,"Salary",IF(tbl_SalAccts[[#This Row],[Value]]=2,"Fringe",IF(tbl_SalAccts[[#This Row],[Value]]=3,"Other","")))</f>
        <v>Other</v>
      </c>
    </row>
    <row r="644" spans="2:5">
      <c r="B644">
        <v>700000</v>
      </c>
      <c r="C644" t="s">
        <v>768</v>
      </c>
      <c r="D644">
        <v>3</v>
      </c>
      <c r="E644" t="str">
        <f>IF(tbl_SalAccts[[#This Row],[Value]]=1,"Salary",IF(tbl_SalAccts[[#This Row],[Value]]=2,"Fringe",IF(tbl_SalAccts[[#This Row],[Value]]=3,"Other","")))</f>
        <v>Other</v>
      </c>
    </row>
    <row r="645" spans="2:5">
      <c r="B645">
        <v>700001</v>
      </c>
      <c r="C645" t="s">
        <v>769</v>
      </c>
      <c r="D645">
        <v>3</v>
      </c>
      <c r="E645" t="str">
        <f>IF(tbl_SalAccts[[#This Row],[Value]]=1,"Salary",IF(tbl_SalAccts[[#This Row],[Value]]=2,"Fringe",IF(tbl_SalAccts[[#This Row],[Value]]=3,"Other","")))</f>
        <v>Other</v>
      </c>
    </row>
    <row r="646" spans="2:5">
      <c r="B646">
        <v>710000</v>
      </c>
      <c r="C646" t="s">
        <v>770</v>
      </c>
      <c r="D646">
        <v>3</v>
      </c>
      <c r="E646" t="str">
        <f>IF(tbl_SalAccts[[#This Row],[Value]]=1,"Salary",IF(tbl_SalAccts[[#This Row],[Value]]=2,"Fringe",IF(tbl_SalAccts[[#This Row],[Value]]=3,"Other","")))</f>
        <v>Other</v>
      </c>
    </row>
    <row r="647" spans="2:5">
      <c r="B647">
        <v>710100</v>
      </c>
      <c r="C647" t="s">
        <v>771</v>
      </c>
      <c r="D647">
        <v>3</v>
      </c>
      <c r="E647" t="str">
        <f>IF(tbl_SalAccts[[#This Row],[Value]]=1,"Salary",IF(tbl_SalAccts[[#This Row],[Value]]=2,"Fringe",IF(tbl_SalAccts[[#This Row],[Value]]=3,"Other","")))</f>
        <v>Other</v>
      </c>
    </row>
    <row r="648" spans="2:5">
      <c r="B648">
        <v>710111</v>
      </c>
      <c r="C648" t="s">
        <v>60</v>
      </c>
      <c r="D648">
        <v>1</v>
      </c>
      <c r="E648" t="str">
        <f>IF(tbl_SalAccts[[#This Row],[Value]]=1,"Salary",IF(tbl_SalAccts[[#This Row],[Value]]=2,"Fringe",IF(tbl_SalAccts[[#This Row],[Value]]=3,"Other","")))</f>
        <v>Salary</v>
      </c>
    </row>
    <row r="649" spans="2:5">
      <c r="B649">
        <v>710112</v>
      </c>
      <c r="C649" t="s">
        <v>61</v>
      </c>
      <c r="D649">
        <v>1</v>
      </c>
      <c r="E649" t="str">
        <f>IF(tbl_SalAccts[[#This Row],[Value]]=1,"Salary",IF(tbl_SalAccts[[#This Row],[Value]]=2,"Fringe",IF(tbl_SalAccts[[#This Row],[Value]]=3,"Other","")))</f>
        <v>Salary</v>
      </c>
    </row>
    <row r="650" spans="2:5">
      <c r="B650">
        <v>710113</v>
      </c>
      <c r="C650" t="s">
        <v>62</v>
      </c>
      <c r="D650">
        <v>1</v>
      </c>
      <c r="E650" t="str">
        <f>IF(tbl_SalAccts[[#This Row],[Value]]=1,"Salary",IF(tbl_SalAccts[[#This Row],[Value]]=2,"Fringe",IF(tbl_SalAccts[[#This Row],[Value]]=3,"Other","")))</f>
        <v>Salary</v>
      </c>
    </row>
    <row r="651" spans="2:5">
      <c r="B651">
        <v>710114</v>
      </c>
      <c r="C651" t="s">
        <v>63</v>
      </c>
      <c r="D651">
        <v>1</v>
      </c>
      <c r="E651" t="str">
        <f>IF(tbl_SalAccts[[#This Row],[Value]]=1,"Salary",IF(tbl_SalAccts[[#This Row],[Value]]=2,"Fringe",IF(tbl_SalAccts[[#This Row],[Value]]=3,"Other","")))</f>
        <v>Salary</v>
      </c>
    </row>
    <row r="652" spans="2:5">
      <c r="B652">
        <v>710115</v>
      </c>
      <c r="C652" t="s">
        <v>64</v>
      </c>
      <c r="D652">
        <v>1</v>
      </c>
      <c r="E652" t="str">
        <f>IF(tbl_SalAccts[[#This Row],[Value]]=1,"Salary",IF(tbl_SalAccts[[#This Row],[Value]]=2,"Fringe",IF(tbl_SalAccts[[#This Row],[Value]]=3,"Other","")))</f>
        <v>Salary</v>
      </c>
    </row>
    <row r="653" spans="2:5">
      <c r="B653">
        <v>710116</v>
      </c>
      <c r="C653" t="s">
        <v>65</v>
      </c>
      <c r="D653">
        <v>1</v>
      </c>
      <c r="E653" t="str">
        <f>IF(tbl_SalAccts[[#This Row],[Value]]=1,"Salary",IF(tbl_SalAccts[[#This Row],[Value]]=2,"Fringe",IF(tbl_SalAccts[[#This Row],[Value]]=3,"Other","")))</f>
        <v>Salary</v>
      </c>
    </row>
    <row r="654" spans="2:5">
      <c r="B654">
        <v>710118</v>
      </c>
      <c r="C654" t="s">
        <v>66</v>
      </c>
      <c r="D654">
        <v>1</v>
      </c>
      <c r="E654" t="str">
        <f>IF(tbl_SalAccts[[#This Row],[Value]]=1,"Salary",IF(tbl_SalAccts[[#This Row],[Value]]=2,"Fringe",IF(tbl_SalAccts[[#This Row],[Value]]=3,"Other","")))</f>
        <v>Salary</v>
      </c>
    </row>
    <row r="655" spans="2:5">
      <c r="B655">
        <v>710121</v>
      </c>
      <c r="C655" t="s">
        <v>35</v>
      </c>
      <c r="D655">
        <v>1</v>
      </c>
      <c r="E655" t="str">
        <f>IF(tbl_SalAccts[[#This Row],[Value]]=1,"Salary",IF(tbl_SalAccts[[#This Row],[Value]]=2,"Fringe",IF(tbl_SalAccts[[#This Row],[Value]]=3,"Other","")))</f>
        <v>Salary</v>
      </c>
    </row>
    <row r="656" spans="2:5">
      <c r="B656">
        <v>710122</v>
      </c>
      <c r="C656" t="s">
        <v>56</v>
      </c>
      <c r="D656">
        <v>1</v>
      </c>
      <c r="E656" t="str">
        <f>IF(tbl_SalAccts[[#This Row],[Value]]=1,"Salary",IF(tbl_SalAccts[[#This Row],[Value]]=2,"Fringe",IF(tbl_SalAccts[[#This Row],[Value]]=3,"Other","")))</f>
        <v>Salary</v>
      </c>
    </row>
    <row r="657" spans="2:5">
      <c r="B657">
        <v>710123</v>
      </c>
      <c r="C657" t="s">
        <v>67</v>
      </c>
      <c r="D657">
        <v>1</v>
      </c>
      <c r="E657" t="str">
        <f>IF(tbl_SalAccts[[#This Row],[Value]]=1,"Salary",IF(tbl_SalAccts[[#This Row],[Value]]=2,"Fringe",IF(tbl_SalAccts[[#This Row],[Value]]=3,"Other","")))</f>
        <v>Salary</v>
      </c>
    </row>
    <row r="658" spans="2:5">
      <c r="B658">
        <v>710124</v>
      </c>
      <c r="C658" t="s">
        <v>36</v>
      </c>
      <c r="D658">
        <v>1</v>
      </c>
      <c r="E658" t="str">
        <f>IF(tbl_SalAccts[[#This Row],[Value]]=1,"Salary",IF(tbl_SalAccts[[#This Row],[Value]]=2,"Fringe",IF(tbl_SalAccts[[#This Row],[Value]]=3,"Other","")))</f>
        <v>Salary</v>
      </c>
    </row>
    <row r="659" spans="2:5">
      <c r="B659">
        <v>710125</v>
      </c>
      <c r="C659" t="s">
        <v>68</v>
      </c>
      <c r="D659">
        <v>1</v>
      </c>
      <c r="E659" t="str">
        <f>IF(tbl_SalAccts[[#This Row],[Value]]=1,"Salary",IF(tbl_SalAccts[[#This Row],[Value]]=2,"Fringe",IF(tbl_SalAccts[[#This Row],[Value]]=3,"Other","")))</f>
        <v>Salary</v>
      </c>
    </row>
    <row r="660" spans="2:5">
      <c r="B660">
        <v>710126</v>
      </c>
      <c r="C660" t="s">
        <v>69</v>
      </c>
      <c r="D660">
        <v>1</v>
      </c>
      <c r="E660" t="str">
        <f>IF(tbl_SalAccts[[#This Row],[Value]]=1,"Salary",IF(tbl_SalAccts[[#This Row],[Value]]=2,"Fringe",IF(tbl_SalAccts[[#This Row],[Value]]=3,"Other","")))</f>
        <v>Salary</v>
      </c>
    </row>
    <row r="661" spans="2:5">
      <c r="B661">
        <v>710127</v>
      </c>
      <c r="C661" t="s">
        <v>70</v>
      </c>
      <c r="D661">
        <v>1</v>
      </c>
      <c r="E661" t="str">
        <f>IF(tbl_SalAccts[[#This Row],[Value]]=1,"Salary",IF(tbl_SalAccts[[#This Row],[Value]]=2,"Fringe",IF(tbl_SalAccts[[#This Row],[Value]]=3,"Other","")))</f>
        <v>Salary</v>
      </c>
    </row>
    <row r="662" spans="2:5">
      <c r="B662">
        <v>710128</v>
      </c>
      <c r="C662" t="s">
        <v>71</v>
      </c>
      <c r="D662">
        <v>1</v>
      </c>
      <c r="E662" t="str">
        <f>IF(tbl_SalAccts[[#This Row],[Value]]=1,"Salary",IF(tbl_SalAccts[[#This Row],[Value]]=2,"Fringe",IF(tbl_SalAccts[[#This Row],[Value]]=3,"Other","")))</f>
        <v>Salary</v>
      </c>
    </row>
    <row r="663" spans="2:5">
      <c r="B663">
        <v>710129</v>
      </c>
      <c r="C663" t="s">
        <v>72</v>
      </c>
      <c r="D663">
        <v>1</v>
      </c>
      <c r="E663" t="str">
        <f>IF(tbl_SalAccts[[#This Row],[Value]]=1,"Salary",IF(tbl_SalAccts[[#This Row],[Value]]=2,"Fringe",IF(tbl_SalAccts[[#This Row],[Value]]=3,"Other","")))</f>
        <v>Salary</v>
      </c>
    </row>
    <row r="664" spans="2:5">
      <c r="B664">
        <v>710130</v>
      </c>
      <c r="C664" t="s">
        <v>57</v>
      </c>
      <c r="D664">
        <v>1</v>
      </c>
      <c r="E664" t="str">
        <f>IF(tbl_SalAccts[[#This Row],[Value]]=1,"Salary",IF(tbl_SalAccts[[#This Row],[Value]]=2,"Fringe",IF(tbl_SalAccts[[#This Row],[Value]]=3,"Other","")))</f>
        <v>Salary</v>
      </c>
    </row>
    <row r="665" spans="2:5">
      <c r="B665">
        <v>710131</v>
      </c>
      <c r="C665" t="s">
        <v>58</v>
      </c>
      <c r="D665">
        <v>1</v>
      </c>
      <c r="E665" t="str">
        <f>IF(tbl_SalAccts[[#This Row],[Value]]=1,"Salary",IF(tbl_SalAccts[[#This Row],[Value]]=2,"Fringe",IF(tbl_SalAccts[[#This Row],[Value]]=3,"Other","")))</f>
        <v>Salary</v>
      </c>
    </row>
    <row r="666" spans="2:5">
      <c r="B666">
        <v>710132</v>
      </c>
      <c r="C666" t="s">
        <v>73</v>
      </c>
      <c r="D666">
        <v>2</v>
      </c>
      <c r="E666" t="str">
        <f>IF(tbl_SalAccts[[#This Row],[Value]]=1,"Salary",IF(tbl_SalAccts[[#This Row],[Value]]=2,"Fringe",IF(tbl_SalAccts[[#This Row],[Value]]=3,"Other","")))</f>
        <v>Fringe</v>
      </c>
    </row>
    <row r="667" spans="2:5">
      <c r="B667">
        <v>710136</v>
      </c>
      <c r="C667" t="s">
        <v>74</v>
      </c>
      <c r="D667">
        <v>1</v>
      </c>
      <c r="E667" t="str">
        <f>IF(tbl_SalAccts[[#This Row],[Value]]=1,"Salary",IF(tbl_SalAccts[[#This Row],[Value]]=2,"Fringe",IF(tbl_SalAccts[[#This Row],[Value]]=3,"Other","")))</f>
        <v>Salary</v>
      </c>
    </row>
    <row r="668" spans="2:5">
      <c r="B668">
        <v>710137</v>
      </c>
      <c r="C668" t="s">
        <v>75</v>
      </c>
      <c r="D668">
        <v>1</v>
      </c>
      <c r="E668" t="str">
        <f>IF(tbl_SalAccts[[#This Row],[Value]]=1,"Salary",IF(tbl_SalAccts[[#This Row],[Value]]=2,"Fringe",IF(tbl_SalAccts[[#This Row],[Value]]=3,"Other","")))</f>
        <v>Salary</v>
      </c>
    </row>
    <row r="669" spans="2:5">
      <c r="B669">
        <v>710138</v>
      </c>
      <c r="C669" t="s">
        <v>76</v>
      </c>
      <c r="D669">
        <v>2</v>
      </c>
      <c r="E669" t="str">
        <f>IF(tbl_SalAccts[[#This Row],[Value]]=1,"Salary",IF(tbl_SalAccts[[#This Row],[Value]]=2,"Fringe",IF(tbl_SalAccts[[#This Row],[Value]]=3,"Other","")))</f>
        <v>Fringe</v>
      </c>
    </row>
    <row r="670" spans="2:5">
      <c r="B670">
        <v>710141</v>
      </c>
      <c r="C670" t="s">
        <v>37</v>
      </c>
      <c r="D670">
        <v>2</v>
      </c>
      <c r="E670" t="str">
        <f>IF(tbl_SalAccts[[#This Row],[Value]]=1,"Salary",IF(tbl_SalAccts[[#This Row],[Value]]=2,"Fringe",IF(tbl_SalAccts[[#This Row],[Value]]=3,"Other","")))</f>
        <v>Fringe</v>
      </c>
    </row>
    <row r="671" spans="2:5">
      <c r="B671">
        <v>710142</v>
      </c>
      <c r="C671" t="s">
        <v>38</v>
      </c>
      <c r="D671">
        <v>2</v>
      </c>
      <c r="E671" t="str">
        <f>IF(tbl_SalAccts[[#This Row],[Value]]=1,"Salary",IF(tbl_SalAccts[[#This Row],[Value]]=2,"Fringe",IF(tbl_SalAccts[[#This Row],[Value]]=3,"Other","")))</f>
        <v>Fringe</v>
      </c>
    </row>
    <row r="672" spans="2:5">
      <c r="B672">
        <v>710151</v>
      </c>
      <c r="C672" t="s">
        <v>77</v>
      </c>
      <c r="D672">
        <v>2</v>
      </c>
      <c r="E672" t="str">
        <f>IF(tbl_SalAccts[[#This Row],[Value]]=1,"Salary",IF(tbl_SalAccts[[#This Row],[Value]]=2,"Fringe",IF(tbl_SalAccts[[#This Row],[Value]]=3,"Other","")))</f>
        <v>Fringe</v>
      </c>
    </row>
    <row r="673" spans="2:5">
      <c r="B673">
        <v>710152</v>
      </c>
      <c r="C673" t="s">
        <v>39</v>
      </c>
      <c r="D673">
        <v>2</v>
      </c>
      <c r="E673" t="str">
        <f>IF(tbl_SalAccts[[#This Row],[Value]]=1,"Salary",IF(tbl_SalAccts[[#This Row],[Value]]=2,"Fringe",IF(tbl_SalAccts[[#This Row],[Value]]=3,"Other","")))</f>
        <v>Fringe</v>
      </c>
    </row>
    <row r="674" spans="2:5">
      <c r="B674">
        <v>710153</v>
      </c>
      <c r="C674" t="s">
        <v>40</v>
      </c>
      <c r="D674">
        <v>2</v>
      </c>
      <c r="E674" t="str">
        <f>IF(tbl_SalAccts[[#This Row],[Value]]=1,"Salary",IF(tbl_SalAccts[[#This Row],[Value]]=2,"Fringe",IF(tbl_SalAccts[[#This Row],[Value]]=3,"Other","")))</f>
        <v>Fringe</v>
      </c>
    </row>
    <row r="675" spans="2:5">
      <c r="B675">
        <v>710154</v>
      </c>
      <c r="C675" t="s">
        <v>41</v>
      </c>
      <c r="D675">
        <v>2</v>
      </c>
      <c r="E675" t="str">
        <f>IF(tbl_SalAccts[[#This Row],[Value]]=1,"Salary",IF(tbl_SalAccts[[#This Row],[Value]]=2,"Fringe",IF(tbl_SalAccts[[#This Row],[Value]]=3,"Other","")))</f>
        <v>Fringe</v>
      </c>
    </row>
    <row r="676" spans="2:5">
      <c r="B676">
        <v>710155</v>
      </c>
      <c r="C676" t="s">
        <v>772</v>
      </c>
      <c r="D676">
        <v>2</v>
      </c>
      <c r="E676" t="str">
        <f>IF(tbl_SalAccts[[#This Row],[Value]]=1,"Salary",IF(tbl_SalAccts[[#This Row],[Value]]=2,"Fringe",IF(tbl_SalAccts[[#This Row],[Value]]=3,"Other","")))</f>
        <v>Fringe</v>
      </c>
    </row>
    <row r="677" spans="2:5">
      <c r="B677">
        <v>710161</v>
      </c>
      <c r="C677" t="s">
        <v>59</v>
      </c>
      <c r="D677">
        <v>2</v>
      </c>
      <c r="E677" t="str">
        <f>IF(tbl_SalAccts[[#This Row],[Value]]=1,"Salary",IF(tbl_SalAccts[[#This Row],[Value]]=2,"Fringe",IF(tbl_SalAccts[[#This Row],[Value]]=3,"Other","")))</f>
        <v>Fringe</v>
      </c>
    </row>
    <row r="678" spans="2:5">
      <c r="B678">
        <v>710172</v>
      </c>
      <c r="C678" t="s">
        <v>42</v>
      </c>
      <c r="D678">
        <v>2</v>
      </c>
      <c r="E678" t="str">
        <f>IF(tbl_SalAccts[[#This Row],[Value]]=1,"Salary",IF(tbl_SalAccts[[#This Row],[Value]]=2,"Fringe",IF(tbl_SalAccts[[#This Row],[Value]]=3,"Other","")))</f>
        <v>Fringe</v>
      </c>
    </row>
    <row r="679" spans="2:5">
      <c r="B679">
        <v>710182</v>
      </c>
      <c r="C679" t="s">
        <v>43</v>
      </c>
      <c r="D679">
        <v>2</v>
      </c>
      <c r="E679" t="str">
        <f>IF(tbl_SalAccts[[#This Row],[Value]]=1,"Salary",IF(tbl_SalAccts[[#This Row],[Value]]=2,"Fringe",IF(tbl_SalAccts[[#This Row],[Value]]=3,"Other","")))</f>
        <v>Fringe</v>
      </c>
    </row>
    <row r="680" spans="2:5">
      <c r="B680">
        <v>710191</v>
      </c>
      <c r="C680" t="s">
        <v>78</v>
      </c>
      <c r="D680">
        <v>2</v>
      </c>
      <c r="E680" t="str">
        <f>IF(tbl_SalAccts[[#This Row],[Value]]=1,"Salary",IF(tbl_SalAccts[[#This Row],[Value]]=2,"Fringe",IF(tbl_SalAccts[[#This Row],[Value]]=3,"Other","")))</f>
        <v>Fringe</v>
      </c>
    </row>
    <row r="681" spans="2:5">
      <c r="B681">
        <v>710999</v>
      </c>
      <c r="C681" t="s">
        <v>79</v>
      </c>
      <c r="D681">
        <v>2</v>
      </c>
      <c r="E681" t="str">
        <f>IF(tbl_SalAccts[[#This Row],[Value]]=1,"Salary",IF(tbl_SalAccts[[#This Row],[Value]]=2,"Fringe",IF(tbl_SalAccts[[#This Row],[Value]]=3,"Other","")))</f>
        <v>Fringe</v>
      </c>
    </row>
    <row r="682" spans="2:5">
      <c r="B682">
        <v>720000</v>
      </c>
      <c r="C682" t="s">
        <v>80</v>
      </c>
      <c r="D682">
        <v>1</v>
      </c>
      <c r="E682" t="str">
        <f>IF(tbl_SalAccts[[#This Row],[Value]]=1,"Salary",IF(tbl_SalAccts[[#This Row],[Value]]=2,"Fringe",IF(tbl_SalAccts[[#This Row],[Value]]=3,"Other","")))</f>
        <v>Salary</v>
      </c>
    </row>
    <row r="683" spans="2:5">
      <c r="B683">
        <v>720111</v>
      </c>
      <c r="C683" t="s">
        <v>81</v>
      </c>
      <c r="D683">
        <v>1</v>
      </c>
      <c r="E683" t="str">
        <f>IF(tbl_SalAccts[[#This Row],[Value]]=1,"Salary",IF(tbl_SalAccts[[#This Row],[Value]]=2,"Fringe",IF(tbl_SalAccts[[#This Row],[Value]]=3,"Other","")))</f>
        <v>Salary</v>
      </c>
    </row>
    <row r="684" spans="2:5">
      <c r="B684">
        <v>720112</v>
      </c>
      <c r="C684" t="s">
        <v>82</v>
      </c>
      <c r="D684">
        <v>1</v>
      </c>
      <c r="E684" t="str">
        <f>IF(tbl_SalAccts[[#This Row],[Value]]=1,"Salary",IF(tbl_SalAccts[[#This Row],[Value]]=2,"Fringe",IF(tbl_SalAccts[[#This Row],[Value]]=3,"Other","")))</f>
        <v>Salary</v>
      </c>
    </row>
    <row r="685" spans="2:5">
      <c r="B685">
        <v>720113</v>
      </c>
      <c r="C685" t="s">
        <v>83</v>
      </c>
      <c r="D685">
        <v>1</v>
      </c>
      <c r="E685" t="str">
        <f>IF(tbl_SalAccts[[#This Row],[Value]]=1,"Salary",IF(tbl_SalAccts[[#This Row],[Value]]=2,"Fringe",IF(tbl_SalAccts[[#This Row],[Value]]=3,"Other","")))</f>
        <v>Salary</v>
      </c>
    </row>
    <row r="686" spans="2:5">
      <c r="B686">
        <v>720115</v>
      </c>
      <c r="C686" t="s">
        <v>84</v>
      </c>
      <c r="D686">
        <v>1</v>
      </c>
      <c r="E686" t="str">
        <f>IF(tbl_SalAccts[[#This Row],[Value]]=1,"Salary",IF(tbl_SalAccts[[#This Row],[Value]]=2,"Fringe",IF(tbl_SalAccts[[#This Row],[Value]]=3,"Other","")))</f>
        <v>Salary</v>
      </c>
    </row>
    <row r="687" spans="2:5">
      <c r="B687">
        <v>720121</v>
      </c>
      <c r="C687" t="s">
        <v>85</v>
      </c>
      <c r="D687">
        <v>1</v>
      </c>
      <c r="E687" t="str">
        <f>IF(tbl_SalAccts[[#This Row],[Value]]=1,"Salary",IF(tbl_SalAccts[[#This Row],[Value]]=2,"Fringe",IF(tbl_SalAccts[[#This Row],[Value]]=3,"Other","")))</f>
        <v>Salary</v>
      </c>
    </row>
    <row r="688" spans="2:5">
      <c r="B688">
        <v>720122</v>
      </c>
      <c r="C688" t="s">
        <v>86</v>
      </c>
      <c r="D688">
        <v>1</v>
      </c>
      <c r="E688" t="str">
        <f>IF(tbl_SalAccts[[#This Row],[Value]]=1,"Salary",IF(tbl_SalAccts[[#This Row],[Value]]=2,"Fringe",IF(tbl_SalAccts[[#This Row],[Value]]=3,"Other","")))</f>
        <v>Salary</v>
      </c>
    </row>
    <row r="689" spans="2:5">
      <c r="B689">
        <v>720123</v>
      </c>
      <c r="C689" t="s">
        <v>87</v>
      </c>
      <c r="D689">
        <v>1</v>
      </c>
      <c r="E689" t="str">
        <f>IF(tbl_SalAccts[[#This Row],[Value]]=1,"Salary",IF(tbl_SalAccts[[#This Row],[Value]]=2,"Fringe",IF(tbl_SalAccts[[#This Row],[Value]]=3,"Other","")))</f>
        <v>Salary</v>
      </c>
    </row>
    <row r="690" spans="2:5">
      <c r="B690">
        <v>720124</v>
      </c>
      <c r="C690" t="s">
        <v>88</v>
      </c>
      <c r="D690">
        <v>1</v>
      </c>
      <c r="E690" t="str">
        <f>IF(tbl_SalAccts[[#This Row],[Value]]=1,"Salary",IF(tbl_SalAccts[[#This Row],[Value]]=2,"Fringe",IF(tbl_SalAccts[[#This Row],[Value]]=3,"Other","")))</f>
        <v>Salary</v>
      </c>
    </row>
    <row r="691" spans="2:5">
      <c r="B691">
        <v>720125</v>
      </c>
      <c r="C691" t="s">
        <v>89</v>
      </c>
      <c r="D691">
        <v>1</v>
      </c>
      <c r="E691" t="str">
        <f>IF(tbl_SalAccts[[#This Row],[Value]]=1,"Salary",IF(tbl_SalAccts[[#This Row],[Value]]=2,"Fringe",IF(tbl_SalAccts[[#This Row],[Value]]=3,"Other","")))</f>
        <v>Salary</v>
      </c>
    </row>
    <row r="692" spans="2:5">
      <c r="B692">
        <v>720126</v>
      </c>
      <c r="C692" t="s">
        <v>90</v>
      </c>
      <c r="D692">
        <v>1</v>
      </c>
      <c r="E692" t="str">
        <f>IF(tbl_SalAccts[[#This Row],[Value]]=1,"Salary",IF(tbl_SalAccts[[#This Row],[Value]]=2,"Fringe",IF(tbl_SalAccts[[#This Row],[Value]]=3,"Other","")))</f>
        <v>Salary</v>
      </c>
    </row>
    <row r="693" spans="2:5">
      <c r="B693">
        <v>720141</v>
      </c>
      <c r="C693" t="s">
        <v>91</v>
      </c>
      <c r="D693">
        <v>2</v>
      </c>
      <c r="E693" t="str">
        <f>IF(tbl_SalAccts[[#This Row],[Value]]=1,"Salary",IF(tbl_SalAccts[[#This Row],[Value]]=2,"Fringe",IF(tbl_SalAccts[[#This Row],[Value]]=3,"Other","")))</f>
        <v>Fringe</v>
      </c>
    </row>
    <row r="694" spans="2:5">
      <c r="B694">
        <v>720142</v>
      </c>
      <c r="C694" t="s">
        <v>92</v>
      </c>
      <c r="D694">
        <v>2</v>
      </c>
      <c r="E694" t="str">
        <f>IF(tbl_SalAccts[[#This Row],[Value]]=1,"Salary",IF(tbl_SalAccts[[#This Row],[Value]]=2,"Fringe",IF(tbl_SalAccts[[#This Row],[Value]]=3,"Other","")))</f>
        <v>Fringe</v>
      </c>
    </row>
    <row r="695" spans="2:5">
      <c r="B695">
        <v>720191</v>
      </c>
      <c r="C695" t="s">
        <v>93</v>
      </c>
      <c r="D695">
        <v>2</v>
      </c>
      <c r="E695" t="str">
        <f>IF(tbl_SalAccts[[#This Row],[Value]]=1,"Salary",IF(tbl_SalAccts[[#This Row],[Value]]=2,"Fringe",IF(tbl_SalAccts[[#This Row],[Value]]=3,"Other","")))</f>
        <v>Fringe</v>
      </c>
    </row>
    <row r="696" spans="2:5">
      <c r="B696">
        <v>720999</v>
      </c>
      <c r="C696" t="s">
        <v>94</v>
      </c>
      <c r="D696">
        <v>2</v>
      </c>
      <c r="E696" t="str">
        <f>IF(tbl_SalAccts[[#This Row],[Value]]=1,"Salary",IF(tbl_SalAccts[[#This Row],[Value]]=2,"Fringe",IF(tbl_SalAccts[[#This Row],[Value]]=3,"Other","")))</f>
        <v>Fringe</v>
      </c>
    </row>
    <row r="697" spans="2:5">
      <c r="B697">
        <v>730000</v>
      </c>
      <c r="C697" t="s">
        <v>95</v>
      </c>
      <c r="D697">
        <v>2</v>
      </c>
      <c r="E697" t="str">
        <f>IF(tbl_SalAccts[[#This Row],[Value]]=1,"Salary",IF(tbl_SalAccts[[#This Row],[Value]]=2,"Fringe",IF(tbl_SalAccts[[#This Row],[Value]]=3,"Other","")))</f>
        <v>Fringe</v>
      </c>
    </row>
    <row r="698" spans="2:5">
      <c r="B698">
        <v>730010</v>
      </c>
      <c r="C698" t="s">
        <v>96</v>
      </c>
      <c r="D698">
        <v>2</v>
      </c>
      <c r="E698" t="str">
        <f>IF(tbl_SalAccts[[#This Row],[Value]]=1,"Salary",IF(tbl_SalAccts[[#This Row],[Value]]=2,"Fringe",IF(tbl_SalAccts[[#This Row],[Value]]=3,"Other","")))</f>
        <v>Fringe</v>
      </c>
    </row>
    <row r="699" spans="2:5">
      <c r="B699">
        <v>730011</v>
      </c>
      <c r="C699" t="s">
        <v>97</v>
      </c>
      <c r="D699">
        <v>2</v>
      </c>
      <c r="E699" t="str">
        <f>IF(tbl_SalAccts[[#This Row],[Value]]=1,"Salary",IF(tbl_SalAccts[[#This Row],[Value]]=2,"Fringe",IF(tbl_SalAccts[[#This Row],[Value]]=3,"Other","")))</f>
        <v>Fringe</v>
      </c>
    </row>
    <row r="700" spans="2:5">
      <c r="B700">
        <v>730100</v>
      </c>
      <c r="C700" t="s">
        <v>98</v>
      </c>
      <c r="D700">
        <v>1</v>
      </c>
      <c r="E700" t="str">
        <f>IF(tbl_SalAccts[[#This Row],[Value]]=1,"Salary",IF(tbl_SalAccts[[#This Row],[Value]]=2,"Fringe",IF(tbl_SalAccts[[#This Row],[Value]]=3,"Other","")))</f>
        <v>Salary</v>
      </c>
    </row>
    <row r="701" spans="2:5">
      <c r="B701">
        <v>730111</v>
      </c>
      <c r="C701" t="s">
        <v>99</v>
      </c>
      <c r="D701">
        <v>1</v>
      </c>
      <c r="E701" t="str">
        <f>IF(tbl_SalAccts[[#This Row],[Value]]=1,"Salary",IF(tbl_SalAccts[[#This Row],[Value]]=2,"Fringe",IF(tbl_SalAccts[[#This Row],[Value]]=3,"Other","")))</f>
        <v>Salary</v>
      </c>
    </row>
    <row r="702" spans="2:5">
      <c r="B702">
        <v>730141</v>
      </c>
      <c r="C702" t="s">
        <v>100</v>
      </c>
      <c r="D702">
        <v>2</v>
      </c>
      <c r="E702" t="str">
        <f>IF(tbl_SalAccts[[#This Row],[Value]]=1,"Salary",IF(tbl_SalAccts[[#This Row],[Value]]=2,"Fringe",IF(tbl_SalAccts[[#This Row],[Value]]=3,"Other","")))</f>
        <v>Fringe</v>
      </c>
    </row>
    <row r="703" spans="2:5">
      <c r="B703">
        <v>730142</v>
      </c>
      <c r="C703" t="s">
        <v>101</v>
      </c>
      <c r="D703">
        <v>2</v>
      </c>
      <c r="E703" t="str">
        <f>IF(tbl_SalAccts[[#This Row],[Value]]=1,"Salary",IF(tbl_SalAccts[[#This Row],[Value]]=2,"Fringe",IF(tbl_SalAccts[[#This Row],[Value]]=3,"Other","")))</f>
        <v>Fringe</v>
      </c>
    </row>
    <row r="704" spans="2:5">
      <c r="B704">
        <v>730152</v>
      </c>
      <c r="C704" t="s">
        <v>102</v>
      </c>
      <c r="D704">
        <v>2</v>
      </c>
      <c r="E704" t="str">
        <f>IF(tbl_SalAccts[[#This Row],[Value]]=1,"Salary",IF(tbl_SalAccts[[#This Row],[Value]]=2,"Fringe",IF(tbl_SalAccts[[#This Row],[Value]]=3,"Other","")))</f>
        <v>Fringe</v>
      </c>
    </row>
    <row r="705" spans="2:5">
      <c r="B705">
        <v>730199</v>
      </c>
      <c r="C705" t="s">
        <v>103</v>
      </c>
      <c r="D705">
        <v>1</v>
      </c>
      <c r="E705" t="str">
        <f>IF(tbl_SalAccts[[#This Row],[Value]]=1,"Salary",IF(tbl_SalAccts[[#This Row],[Value]]=2,"Fringe",IF(tbl_SalAccts[[#This Row],[Value]]=3,"Other","")))</f>
        <v>Salary</v>
      </c>
    </row>
    <row r="706" spans="2:5">
      <c r="B706">
        <v>730300</v>
      </c>
      <c r="C706" t="s">
        <v>104</v>
      </c>
      <c r="D706">
        <v>2</v>
      </c>
      <c r="E706" t="str">
        <f>IF(tbl_SalAccts[[#This Row],[Value]]=1,"Salary",IF(tbl_SalAccts[[#This Row],[Value]]=2,"Fringe",IF(tbl_SalAccts[[#This Row],[Value]]=3,"Other","")))</f>
        <v>Fringe</v>
      </c>
    </row>
    <row r="707" spans="2:5">
      <c r="B707">
        <v>730301</v>
      </c>
      <c r="C707" t="s">
        <v>105</v>
      </c>
      <c r="D707">
        <v>2</v>
      </c>
      <c r="E707" t="str">
        <f>IF(tbl_SalAccts[[#This Row],[Value]]=1,"Salary",IF(tbl_SalAccts[[#This Row],[Value]]=2,"Fringe",IF(tbl_SalAccts[[#This Row],[Value]]=3,"Other","")))</f>
        <v>Fringe</v>
      </c>
    </row>
    <row r="708" spans="2:5">
      <c r="B708">
        <v>730302</v>
      </c>
      <c r="C708" t="s">
        <v>106</v>
      </c>
      <c r="D708">
        <v>2</v>
      </c>
      <c r="E708" t="str">
        <f>IF(tbl_SalAccts[[#This Row],[Value]]=1,"Salary",IF(tbl_SalAccts[[#This Row],[Value]]=2,"Fringe",IF(tbl_SalAccts[[#This Row],[Value]]=3,"Other","")))</f>
        <v>Fringe</v>
      </c>
    </row>
    <row r="709" spans="2:5">
      <c r="B709">
        <v>730303</v>
      </c>
      <c r="C709" t="s">
        <v>107</v>
      </c>
      <c r="D709">
        <v>2</v>
      </c>
      <c r="E709" t="str">
        <f>IF(tbl_SalAccts[[#This Row],[Value]]=1,"Salary",IF(tbl_SalAccts[[#This Row],[Value]]=2,"Fringe",IF(tbl_SalAccts[[#This Row],[Value]]=3,"Other","")))</f>
        <v>Fringe</v>
      </c>
    </row>
    <row r="710" spans="2:5">
      <c r="B710">
        <v>730304</v>
      </c>
      <c r="C710" t="s">
        <v>108</v>
      </c>
      <c r="D710">
        <v>2</v>
      </c>
      <c r="E710" t="str">
        <f>IF(tbl_SalAccts[[#This Row],[Value]]=1,"Salary",IF(tbl_SalAccts[[#This Row],[Value]]=2,"Fringe",IF(tbl_SalAccts[[#This Row],[Value]]=3,"Other","")))</f>
        <v>Fringe</v>
      </c>
    </row>
    <row r="711" spans="2:5">
      <c r="B711">
        <v>730305</v>
      </c>
      <c r="C711" t="s">
        <v>109</v>
      </c>
      <c r="D711">
        <v>2</v>
      </c>
      <c r="E711" t="str">
        <f>IF(tbl_SalAccts[[#This Row],[Value]]=1,"Salary",IF(tbl_SalAccts[[#This Row],[Value]]=2,"Fringe",IF(tbl_SalAccts[[#This Row],[Value]]=3,"Other","")))</f>
        <v>Fringe</v>
      </c>
    </row>
    <row r="712" spans="2:5">
      <c r="B712">
        <v>730400</v>
      </c>
      <c r="C712" t="s">
        <v>110</v>
      </c>
      <c r="D712">
        <v>2</v>
      </c>
      <c r="E712" t="str">
        <f>IF(tbl_SalAccts[[#This Row],[Value]]=1,"Salary",IF(tbl_SalAccts[[#This Row],[Value]]=2,"Fringe",IF(tbl_SalAccts[[#This Row],[Value]]=3,"Other","")))</f>
        <v>Fringe</v>
      </c>
    </row>
    <row r="713" spans="2:5">
      <c r="B713">
        <v>730700</v>
      </c>
      <c r="C713" t="s">
        <v>111</v>
      </c>
      <c r="D713">
        <v>3</v>
      </c>
      <c r="E713" t="str">
        <f>IF(tbl_SalAccts[[#This Row],[Value]]=1,"Salary",IF(tbl_SalAccts[[#This Row],[Value]]=2,"Fringe",IF(tbl_SalAccts[[#This Row],[Value]]=3,"Other","")))</f>
        <v>Other</v>
      </c>
    </row>
    <row r="714" spans="2:5">
      <c r="B714">
        <v>730701</v>
      </c>
      <c r="C714" t="s">
        <v>773</v>
      </c>
      <c r="D714">
        <v>2</v>
      </c>
      <c r="E714" t="str">
        <f>IF(tbl_SalAccts[[#This Row],[Value]]=1,"Salary",IF(tbl_SalAccts[[#This Row],[Value]]=2,"Fringe",IF(tbl_SalAccts[[#This Row],[Value]]=3,"Other","")))</f>
        <v>Fringe</v>
      </c>
    </row>
    <row r="715" spans="2:5">
      <c r="B715">
        <v>730702</v>
      </c>
      <c r="C715" t="s">
        <v>774</v>
      </c>
      <c r="D715">
        <v>2</v>
      </c>
      <c r="E715" t="str">
        <f>IF(tbl_SalAccts[[#This Row],[Value]]=1,"Salary",IF(tbl_SalAccts[[#This Row],[Value]]=2,"Fringe",IF(tbl_SalAccts[[#This Row],[Value]]=3,"Other","")))</f>
        <v>Fringe</v>
      </c>
    </row>
    <row r="716" spans="2:5">
      <c r="B716">
        <v>730730</v>
      </c>
      <c r="C716" t="s">
        <v>112</v>
      </c>
      <c r="D716">
        <v>2</v>
      </c>
      <c r="E716" t="str">
        <f>IF(tbl_SalAccts[[#This Row],[Value]]=1,"Salary",IF(tbl_SalAccts[[#This Row],[Value]]=2,"Fringe",IF(tbl_SalAccts[[#This Row],[Value]]=3,"Other","")))</f>
        <v>Fringe</v>
      </c>
    </row>
    <row r="717" spans="2:5">
      <c r="B717">
        <v>730731</v>
      </c>
      <c r="C717" t="s">
        <v>113</v>
      </c>
      <c r="D717">
        <v>2</v>
      </c>
      <c r="E717" t="str">
        <f>IF(tbl_SalAccts[[#This Row],[Value]]=1,"Salary",IF(tbl_SalAccts[[#This Row],[Value]]=2,"Fringe",IF(tbl_SalAccts[[#This Row],[Value]]=3,"Other","")))</f>
        <v>Fringe</v>
      </c>
    </row>
    <row r="718" spans="2:5">
      <c r="B718">
        <v>730800</v>
      </c>
      <c r="C718" t="s">
        <v>114</v>
      </c>
      <c r="D718">
        <v>2</v>
      </c>
      <c r="E718" t="str">
        <f>IF(tbl_SalAccts[[#This Row],[Value]]=1,"Salary",IF(tbl_SalAccts[[#This Row],[Value]]=2,"Fringe",IF(tbl_SalAccts[[#This Row],[Value]]=3,"Other","")))</f>
        <v>Fringe</v>
      </c>
    </row>
    <row r="719" spans="2:5">
      <c r="B719">
        <v>730801</v>
      </c>
      <c r="C719" t="s">
        <v>115</v>
      </c>
      <c r="D719">
        <v>2</v>
      </c>
      <c r="E719" t="str">
        <f>IF(tbl_SalAccts[[#This Row],[Value]]=1,"Salary",IF(tbl_SalAccts[[#This Row],[Value]]=2,"Fringe",IF(tbl_SalAccts[[#This Row],[Value]]=3,"Other","")))</f>
        <v>Fringe</v>
      </c>
    </row>
    <row r="720" spans="2:5">
      <c r="B720">
        <v>730810</v>
      </c>
      <c r="C720" t="s">
        <v>116</v>
      </c>
      <c r="D720">
        <v>2</v>
      </c>
      <c r="E720" t="str">
        <f>IF(tbl_SalAccts[[#This Row],[Value]]=1,"Salary",IF(tbl_SalAccts[[#This Row],[Value]]=2,"Fringe",IF(tbl_SalAccts[[#This Row],[Value]]=3,"Other","")))</f>
        <v>Fringe</v>
      </c>
    </row>
    <row r="721" spans="2:5">
      <c r="B721">
        <v>730811</v>
      </c>
      <c r="C721" t="s">
        <v>117</v>
      </c>
      <c r="D721">
        <v>2</v>
      </c>
      <c r="E721" t="str">
        <f>IF(tbl_SalAccts[[#This Row],[Value]]=1,"Salary",IF(tbl_SalAccts[[#This Row],[Value]]=2,"Fringe",IF(tbl_SalAccts[[#This Row],[Value]]=3,"Other","")))</f>
        <v>Fringe</v>
      </c>
    </row>
    <row r="722" spans="2:5">
      <c r="B722">
        <v>730830</v>
      </c>
      <c r="C722" t="s">
        <v>118</v>
      </c>
      <c r="D722">
        <v>2</v>
      </c>
      <c r="E722" t="str">
        <f>IF(tbl_SalAccts[[#This Row],[Value]]=1,"Salary",IF(tbl_SalAccts[[#This Row],[Value]]=2,"Fringe",IF(tbl_SalAccts[[#This Row],[Value]]=3,"Other","")))</f>
        <v>Fringe</v>
      </c>
    </row>
    <row r="723" spans="2:5">
      <c r="B723">
        <v>730831</v>
      </c>
      <c r="C723" t="s">
        <v>119</v>
      </c>
      <c r="D723">
        <v>2</v>
      </c>
      <c r="E723" t="str">
        <f>IF(tbl_SalAccts[[#This Row],[Value]]=1,"Salary",IF(tbl_SalAccts[[#This Row],[Value]]=2,"Fringe",IF(tbl_SalAccts[[#This Row],[Value]]=3,"Other","")))</f>
        <v>Fringe</v>
      </c>
    </row>
    <row r="724" spans="2:5">
      <c r="B724">
        <v>730832</v>
      </c>
      <c r="C724" t="s">
        <v>120</v>
      </c>
      <c r="D724">
        <v>2</v>
      </c>
      <c r="E724" t="str">
        <f>IF(tbl_SalAccts[[#This Row],[Value]]=1,"Salary",IF(tbl_SalAccts[[#This Row],[Value]]=2,"Fringe",IF(tbl_SalAccts[[#This Row],[Value]]=3,"Other","")))</f>
        <v>Fringe</v>
      </c>
    </row>
    <row r="725" spans="2:5">
      <c r="B725">
        <v>730860</v>
      </c>
      <c r="C725" t="s">
        <v>121</v>
      </c>
      <c r="D725">
        <v>2</v>
      </c>
      <c r="E725" t="str">
        <f>IF(tbl_SalAccts[[#This Row],[Value]]=1,"Salary",IF(tbl_SalAccts[[#This Row],[Value]]=2,"Fringe",IF(tbl_SalAccts[[#This Row],[Value]]=3,"Other","")))</f>
        <v>Fringe</v>
      </c>
    </row>
    <row r="726" spans="2:5">
      <c r="B726">
        <v>730861</v>
      </c>
      <c r="C726" t="s">
        <v>122</v>
      </c>
      <c r="D726">
        <v>2</v>
      </c>
      <c r="E726" t="str">
        <f>IF(tbl_SalAccts[[#This Row],[Value]]=1,"Salary",IF(tbl_SalAccts[[#This Row],[Value]]=2,"Fringe",IF(tbl_SalAccts[[#This Row],[Value]]=3,"Other","")))</f>
        <v>Fringe</v>
      </c>
    </row>
    <row r="727" spans="2:5">
      <c r="B727">
        <v>730880</v>
      </c>
      <c r="C727" t="s">
        <v>123</v>
      </c>
      <c r="D727">
        <v>2</v>
      </c>
      <c r="E727" t="str">
        <f>IF(tbl_SalAccts[[#This Row],[Value]]=1,"Salary",IF(tbl_SalAccts[[#This Row],[Value]]=2,"Fringe",IF(tbl_SalAccts[[#This Row],[Value]]=3,"Other","")))</f>
        <v>Fringe</v>
      </c>
    </row>
    <row r="728" spans="2:5">
      <c r="B728">
        <v>730881</v>
      </c>
      <c r="C728" t="s">
        <v>124</v>
      </c>
      <c r="D728">
        <v>2</v>
      </c>
      <c r="E728" t="str">
        <f>IF(tbl_SalAccts[[#This Row],[Value]]=1,"Salary",IF(tbl_SalAccts[[#This Row],[Value]]=2,"Fringe",IF(tbl_SalAccts[[#This Row],[Value]]=3,"Other","")))</f>
        <v>Fringe</v>
      </c>
    </row>
    <row r="729" spans="2:5">
      <c r="B729">
        <v>740000</v>
      </c>
      <c r="C729" t="s">
        <v>775</v>
      </c>
      <c r="D729">
        <v>3</v>
      </c>
      <c r="E729" t="str">
        <f>IF(tbl_SalAccts[[#This Row],[Value]]=1,"Salary",IF(tbl_SalAccts[[#This Row],[Value]]=2,"Fringe",IF(tbl_SalAccts[[#This Row],[Value]]=3,"Other","")))</f>
        <v>Other</v>
      </c>
    </row>
    <row r="730" spans="2:5">
      <c r="B730">
        <v>740099</v>
      </c>
      <c r="C730" t="s">
        <v>776</v>
      </c>
      <c r="D730">
        <v>3</v>
      </c>
      <c r="E730" t="str">
        <f>IF(tbl_SalAccts[[#This Row],[Value]]=1,"Salary",IF(tbl_SalAccts[[#This Row],[Value]]=2,"Fringe",IF(tbl_SalAccts[[#This Row],[Value]]=3,"Other","")))</f>
        <v>Other</v>
      </c>
    </row>
    <row r="731" spans="2:5">
      <c r="B731">
        <v>740111</v>
      </c>
      <c r="C731" t="s">
        <v>777</v>
      </c>
      <c r="D731">
        <v>3</v>
      </c>
      <c r="E731" t="str">
        <f>IF(tbl_SalAccts[[#This Row],[Value]]=1,"Salary",IF(tbl_SalAccts[[#This Row],[Value]]=2,"Fringe",IF(tbl_SalAccts[[#This Row],[Value]]=3,"Other","")))</f>
        <v>Other</v>
      </c>
    </row>
    <row r="732" spans="2:5">
      <c r="B732">
        <v>740200</v>
      </c>
      <c r="C732" t="s">
        <v>778</v>
      </c>
      <c r="D732">
        <v>3</v>
      </c>
      <c r="E732" t="str">
        <f>IF(tbl_SalAccts[[#This Row],[Value]]=1,"Salary",IF(tbl_SalAccts[[#This Row],[Value]]=2,"Fringe",IF(tbl_SalAccts[[#This Row],[Value]]=3,"Other","")))</f>
        <v>Other</v>
      </c>
    </row>
    <row r="733" spans="2:5">
      <c r="B733">
        <v>740206</v>
      </c>
      <c r="C733" t="s">
        <v>779</v>
      </c>
      <c r="D733">
        <v>3</v>
      </c>
      <c r="E733" t="str">
        <f>IF(tbl_SalAccts[[#This Row],[Value]]=1,"Salary",IF(tbl_SalAccts[[#This Row],[Value]]=2,"Fringe",IF(tbl_SalAccts[[#This Row],[Value]]=3,"Other","")))</f>
        <v>Other</v>
      </c>
    </row>
    <row r="734" spans="2:5">
      <c r="B734">
        <v>740211</v>
      </c>
      <c r="C734" t="s">
        <v>780</v>
      </c>
      <c r="D734">
        <v>3</v>
      </c>
      <c r="E734" t="str">
        <f>IF(tbl_SalAccts[[#This Row],[Value]]=1,"Salary",IF(tbl_SalAccts[[#This Row],[Value]]=2,"Fringe",IF(tbl_SalAccts[[#This Row],[Value]]=3,"Other","")))</f>
        <v>Other</v>
      </c>
    </row>
    <row r="735" spans="2:5">
      <c r="B735">
        <v>740213</v>
      </c>
      <c r="C735" t="s">
        <v>781</v>
      </c>
      <c r="D735">
        <v>3</v>
      </c>
      <c r="E735" t="str">
        <f>IF(tbl_SalAccts[[#This Row],[Value]]=1,"Salary",IF(tbl_SalAccts[[#This Row],[Value]]=2,"Fringe",IF(tbl_SalAccts[[#This Row],[Value]]=3,"Other","")))</f>
        <v>Other</v>
      </c>
    </row>
    <row r="736" spans="2:5">
      <c r="B736">
        <v>740215</v>
      </c>
      <c r="C736" t="s">
        <v>782</v>
      </c>
      <c r="D736">
        <v>3</v>
      </c>
      <c r="E736" t="str">
        <f>IF(tbl_SalAccts[[#This Row],[Value]]=1,"Salary",IF(tbl_SalAccts[[#This Row],[Value]]=2,"Fringe",IF(tbl_SalAccts[[#This Row],[Value]]=3,"Other","")))</f>
        <v>Other</v>
      </c>
    </row>
    <row r="737" spans="2:5">
      <c r="B737">
        <v>740216</v>
      </c>
      <c r="C737" t="s">
        <v>783</v>
      </c>
      <c r="D737">
        <v>3</v>
      </c>
      <c r="E737" t="str">
        <f>IF(tbl_SalAccts[[#This Row],[Value]]=1,"Salary",IF(tbl_SalAccts[[#This Row],[Value]]=2,"Fringe",IF(tbl_SalAccts[[#This Row],[Value]]=3,"Other","")))</f>
        <v>Other</v>
      </c>
    </row>
    <row r="738" spans="2:5">
      <c r="B738">
        <v>740221</v>
      </c>
      <c r="C738" t="s">
        <v>784</v>
      </c>
      <c r="D738">
        <v>3</v>
      </c>
      <c r="E738" t="str">
        <f>IF(tbl_SalAccts[[#This Row],[Value]]=1,"Salary",IF(tbl_SalAccts[[#This Row],[Value]]=2,"Fringe",IF(tbl_SalAccts[[#This Row],[Value]]=3,"Other","")))</f>
        <v>Other</v>
      </c>
    </row>
    <row r="739" spans="2:5">
      <c r="B739">
        <v>740222</v>
      </c>
      <c r="C739" t="s">
        <v>785</v>
      </c>
      <c r="D739">
        <v>3</v>
      </c>
      <c r="E739" t="str">
        <f>IF(tbl_SalAccts[[#This Row],[Value]]=1,"Salary",IF(tbl_SalAccts[[#This Row],[Value]]=2,"Fringe",IF(tbl_SalAccts[[#This Row],[Value]]=3,"Other","")))</f>
        <v>Other</v>
      </c>
    </row>
    <row r="740" spans="2:5">
      <c r="B740">
        <v>740223</v>
      </c>
      <c r="C740" t="s">
        <v>786</v>
      </c>
      <c r="D740">
        <v>3</v>
      </c>
      <c r="E740" t="str">
        <f>IF(tbl_SalAccts[[#This Row],[Value]]=1,"Salary",IF(tbl_SalAccts[[#This Row],[Value]]=2,"Fringe",IF(tbl_SalAccts[[#This Row],[Value]]=3,"Other","")))</f>
        <v>Other</v>
      </c>
    </row>
    <row r="741" spans="2:5">
      <c r="B741">
        <v>740224</v>
      </c>
      <c r="C741" t="s">
        <v>787</v>
      </c>
      <c r="D741">
        <v>3</v>
      </c>
      <c r="E741" t="str">
        <f>IF(tbl_SalAccts[[#This Row],[Value]]=1,"Salary",IF(tbl_SalAccts[[#This Row],[Value]]=2,"Fringe",IF(tbl_SalAccts[[#This Row],[Value]]=3,"Other","")))</f>
        <v>Other</v>
      </c>
    </row>
    <row r="742" spans="2:5">
      <c r="B742">
        <v>740225</v>
      </c>
      <c r="C742" t="s">
        <v>788</v>
      </c>
      <c r="D742">
        <v>3</v>
      </c>
      <c r="E742" t="str">
        <f>IF(tbl_SalAccts[[#This Row],[Value]]=1,"Salary",IF(tbl_SalAccts[[#This Row],[Value]]=2,"Fringe",IF(tbl_SalAccts[[#This Row],[Value]]=3,"Other","")))</f>
        <v>Other</v>
      </c>
    </row>
    <row r="743" spans="2:5">
      <c r="B743">
        <v>740227</v>
      </c>
      <c r="C743" t="s">
        <v>789</v>
      </c>
      <c r="D743">
        <v>3</v>
      </c>
      <c r="E743" t="str">
        <f>IF(tbl_SalAccts[[#This Row],[Value]]=1,"Salary",IF(tbl_SalAccts[[#This Row],[Value]]=2,"Fringe",IF(tbl_SalAccts[[#This Row],[Value]]=3,"Other","")))</f>
        <v>Other</v>
      </c>
    </row>
    <row r="744" spans="2:5">
      <c r="B744">
        <v>740229</v>
      </c>
      <c r="C744" t="s">
        <v>790</v>
      </c>
      <c r="D744">
        <v>3</v>
      </c>
      <c r="E744" t="str">
        <f>IF(tbl_SalAccts[[#This Row],[Value]]=1,"Salary",IF(tbl_SalAccts[[#This Row],[Value]]=2,"Fringe",IF(tbl_SalAccts[[#This Row],[Value]]=3,"Other","")))</f>
        <v>Other</v>
      </c>
    </row>
    <row r="745" spans="2:5">
      <c r="B745">
        <v>740231</v>
      </c>
      <c r="C745" t="s">
        <v>791</v>
      </c>
      <c r="D745">
        <v>3</v>
      </c>
      <c r="E745" t="str">
        <f>IF(tbl_SalAccts[[#This Row],[Value]]=1,"Salary",IF(tbl_SalAccts[[#This Row],[Value]]=2,"Fringe",IF(tbl_SalAccts[[#This Row],[Value]]=3,"Other","")))</f>
        <v>Other</v>
      </c>
    </row>
    <row r="746" spans="2:5">
      <c r="B746">
        <v>740232</v>
      </c>
      <c r="C746" t="s">
        <v>792</v>
      </c>
      <c r="D746">
        <v>3</v>
      </c>
      <c r="E746" t="str">
        <f>IF(tbl_SalAccts[[#This Row],[Value]]=1,"Salary",IF(tbl_SalAccts[[#This Row],[Value]]=2,"Fringe",IF(tbl_SalAccts[[#This Row],[Value]]=3,"Other","")))</f>
        <v>Other</v>
      </c>
    </row>
    <row r="747" spans="2:5">
      <c r="B747">
        <v>740233</v>
      </c>
      <c r="C747" t="s">
        <v>793</v>
      </c>
      <c r="D747">
        <v>3</v>
      </c>
      <c r="E747" t="str">
        <f>IF(tbl_SalAccts[[#This Row],[Value]]=1,"Salary",IF(tbl_SalAccts[[#This Row],[Value]]=2,"Fringe",IF(tbl_SalAccts[[#This Row],[Value]]=3,"Other","")))</f>
        <v>Other</v>
      </c>
    </row>
    <row r="748" spans="2:5">
      <c r="B748">
        <v>740234</v>
      </c>
      <c r="C748" t="s">
        <v>794</v>
      </c>
      <c r="D748">
        <v>3</v>
      </c>
      <c r="E748" t="str">
        <f>IF(tbl_SalAccts[[#This Row],[Value]]=1,"Salary",IF(tbl_SalAccts[[#This Row],[Value]]=2,"Fringe",IF(tbl_SalAccts[[#This Row],[Value]]=3,"Other","")))</f>
        <v>Other</v>
      </c>
    </row>
    <row r="749" spans="2:5">
      <c r="B749">
        <v>740235</v>
      </c>
      <c r="C749" t="s">
        <v>795</v>
      </c>
      <c r="D749">
        <v>3</v>
      </c>
      <c r="E749" t="str">
        <f>IF(tbl_SalAccts[[#This Row],[Value]]=1,"Salary",IF(tbl_SalAccts[[#This Row],[Value]]=2,"Fringe",IF(tbl_SalAccts[[#This Row],[Value]]=3,"Other","")))</f>
        <v>Other</v>
      </c>
    </row>
    <row r="750" spans="2:5">
      <c r="B750">
        <v>740236</v>
      </c>
      <c r="C750" t="s">
        <v>796</v>
      </c>
      <c r="D750">
        <v>3</v>
      </c>
      <c r="E750" t="str">
        <f>IF(tbl_SalAccts[[#This Row],[Value]]=1,"Salary",IF(tbl_SalAccts[[#This Row],[Value]]=2,"Fringe",IF(tbl_SalAccts[[#This Row],[Value]]=3,"Other","")))</f>
        <v>Other</v>
      </c>
    </row>
    <row r="751" spans="2:5">
      <c r="B751">
        <v>740238</v>
      </c>
      <c r="C751" t="s">
        <v>797</v>
      </c>
      <c r="D751">
        <v>3</v>
      </c>
      <c r="E751" t="str">
        <f>IF(tbl_SalAccts[[#This Row],[Value]]=1,"Salary",IF(tbl_SalAccts[[#This Row],[Value]]=2,"Fringe",IF(tbl_SalAccts[[#This Row],[Value]]=3,"Other","")))</f>
        <v>Other</v>
      </c>
    </row>
    <row r="752" spans="2:5">
      <c r="B752">
        <v>740239</v>
      </c>
      <c r="C752" t="s">
        <v>798</v>
      </c>
      <c r="D752">
        <v>3</v>
      </c>
      <c r="E752" t="str">
        <f>IF(tbl_SalAccts[[#This Row],[Value]]=1,"Salary",IF(tbl_SalAccts[[#This Row],[Value]]=2,"Fringe",IF(tbl_SalAccts[[#This Row],[Value]]=3,"Other","")))</f>
        <v>Other</v>
      </c>
    </row>
    <row r="753" spans="2:5">
      <c r="B753">
        <v>740240</v>
      </c>
      <c r="C753" t="s">
        <v>799</v>
      </c>
      <c r="D753">
        <v>3</v>
      </c>
      <c r="E753" t="str">
        <f>IF(tbl_SalAccts[[#This Row],[Value]]=1,"Salary",IF(tbl_SalAccts[[#This Row],[Value]]=2,"Fringe",IF(tbl_SalAccts[[#This Row],[Value]]=3,"Other","")))</f>
        <v>Other</v>
      </c>
    </row>
    <row r="754" spans="2:5">
      <c r="B754">
        <v>740241</v>
      </c>
      <c r="C754" t="s">
        <v>800</v>
      </c>
      <c r="D754">
        <v>3</v>
      </c>
      <c r="E754" t="str">
        <f>IF(tbl_SalAccts[[#This Row],[Value]]=1,"Salary",IF(tbl_SalAccts[[#This Row],[Value]]=2,"Fringe",IF(tbl_SalAccts[[#This Row],[Value]]=3,"Other","")))</f>
        <v>Other</v>
      </c>
    </row>
    <row r="755" spans="2:5">
      <c r="B755">
        <v>740242</v>
      </c>
      <c r="C755" t="s">
        <v>801</v>
      </c>
      <c r="D755">
        <v>3</v>
      </c>
      <c r="E755" t="str">
        <f>IF(tbl_SalAccts[[#This Row],[Value]]=1,"Salary",IF(tbl_SalAccts[[#This Row],[Value]]=2,"Fringe",IF(tbl_SalAccts[[#This Row],[Value]]=3,"Other","")))</f>
        <v>Other</v>
      </c>
    </row>
    <row r="756" spans="2:5">
      <c r="B756">
        <v>740243</v>
      </c>
      <c r="C756" t="s">
        <v>802</v>
      </c>
      <c r="D756">
        <v>3</v>
      </c>
      <c r="E756" t="str">
        <f>IF(tbl_SalAccts[[#This Row],[Value]]=1,"Salary",IF(tbl_SalAccts[[#This Row],[Value]]=2,"Fringe",IF(tbl_SalAccts[[#This Row],[Value]]=3,"Other","")))</f>
        <v>Other</v>
      </c>
    </row>
    <row r="757" spans="2:5">
      <c r="B757">
        <v>740244</v>
      </c>
      <c r="C757" t="s">
        <v>803</v>
      </c>
      <c r="D757">
        <v>3</v>
      </c>
      <c r="E757" t="str">
        <f>IF(tbl_SalAccts[[#This Row],[Value]]=1,"Salary",IF(tbl_SalAccts[[#This Row],[Value]]=2,"Fringe",IF(tbl_SalAccts[[#This Row],[Value]]=3,"Other","")))</f>
        <v>Other</v>
      </c>
    </row>
    <row r="758" spans="2:5">
      <c r="B758">
        <v>740245</v>
      </c>
      <c r="C758" t="s">
        <v>804</v>
      </c>
      <c r="D758">
        <v>3</v>
      </c>
      <c r="E758" t="str">
        <f>IF(tbl_SalAccts[[#This Row],[Value]]=1,"Salary",IF(tbl_SalAccts[[#This Row],[Value]]=2,"Fringe",IF(tbl_SalAccts[[#This Row],[Value]]=3,"Other","")))</f>
        <v>Other</v>
      </c>
    </row>
    <row r="759" spans="2:5">
      <c r="B759">
        <v>740246</v>
      </c>
      <c r="C759" t="s">
        <v>805</v>
      </c>
      <c r="D759">
        <v>3</v>
      </c>
      <c r="E759" t="str">
        <f>IF(tbl_SalAccts[[#This Row],[Value]]=1,"Salary",IF(tbl_SalAccts[[#This Row],[Value]]=2,"Fringe",IF(tbl_SalAccts[[#This Row],[Value]]=3,"Other","")))</f>
        <v>Other</v>
      </c>
    </row>
    <row r="760" spans="2:5">
      <c r="B760">
        <v>740247</v>
      </c>
      <c r="C760" t="s">
        <v>806</v>
      </c>
      <c r="D760">
        <v>3</v>
      </c>
      <c r="E760" t="str">
        <f>IF(tbl_SalAccts[[#This Row],[Value]]=1,"Salary",IF(tbl_SalAccts[[#This Row],[Value]]=2,"Fringe",IF(tbl_SalAccts[[#This Row],[Value]]=3,"Other","")))</f>
        <v>Other</v>
      </c>
    </row>
    <row r="761" spans="2:5">
      <c r="B761">
        <v>740248</v>
      </c>
      <c r="C761" t="s">
        <v>807</v>
      </c>
      <c r="D761">
        <v>3</v>
      </c>
      <c r="E761" t="str">
        <f>IF(tbl_SalAccts[[#This Row],[Value]]=1,"Salary",IF(tbl_SalAccts[[#This Row],[Value]]=2,"Fringe",IF(tbl_SalAccts[[#This Row],[Value]]=3,"Other","")))</f>
        <v>Other</v>
      </c>
    </row>
    <row r="762" spans="2:5">
      <c r="B762">
        <v>740251</v>
      </c>
      <c r="C762" t="s">
        <v>808</v>
      </c>
      <c r="D762">
        <v>3</v>
      </c>
      <c r="E762" t="str">
        <f>IF(tbl_SalAccts[[#This Row],[Value]]=1,"Salary",IF(tbl_SalAccts[[#This Row],[Value]]=2,"Fringe",IF(tbl_SalAccts[[#This Row],[Value]]=3,"Other","")))</f>
        <v>Other</v>
      </c>
    </row>
    <row r="763" spans="2:5">
      <c r="B763">
        <v>740252</v>
      </c>
      <c r="C763" t="s">
        <v>809</v>
      </c>
      <c r="D763">
        <v>3</v>
      </c>
      <c r="E763" t="str">
        <f>IF(tbl_SalAccts[[#This Row],[Value]]=1,"Salary",IF(tbl_SalAccts[[#This Row],[Value]]=2,"Fringe",IF(tbl_SalAccts[[#This Row],[Value]]=3,"Other","")))</f>
        <v>Other</v>
      </c>
    </row>
    <row r="764" spans="2:5">
      <c r="B764">
        <v>740258</v>
      </c>
      <c r="C764" t="s">
        <v>810</v>
      </c>
      <c r="D764">
        <v>3</v>
      </c>
      <c r="E764" t="str">
        <f>IF(tbl_SalAccts[[#This Row],[Value]]=1,"Salary",IF(tbl_SalAccts[[#This Row],[Value]]=2,"Fringe",IF(tbl_SalAccts[[#This Row],[Value]]=3,"Other","")))</f>
        <v>Other</v>
      </c>
    </row>
    <row r="765" spans="2:5">
      <c r="B765">
        <v>740259</v>
      </c>
      <c r="C765" t="s">
        <v>811</v>
      </c>
      <c r="D765">
        <v>3</v>
      </c>
      <c r="E765" t="str">
        <f>IF(tbl_SalAccts[[#This Row],[Value]]=1,"Salary",IF(tbl_SalAccts[[#This Row],[Value]]=2,"Fringe",IF(tbl_SalAccts[[#This Row],[Value]]=3,"Other","")))</f>
        <v>Other</v>
      </c>
    </row>
    <row r="766" spans="2:5">
      <c r="B766">
        <v>740261</v>
      </c>
      <c r="C766" t="s">
        <v>812</v>
      </c>
      <c r="D766">
        <v>3</v>
      </c>
      <c r="E766" t="str">
        <f>IF(tbl_SalAccts[[#This Row],[Value]]=1,"Salary",IF(tbl_SalAccts[[#This Row],[Value]]=2,"Fringe",IF(tbl_SalAccts[[#This Row],[Value]]=3,"Other","")))</f>
        <v>Other</v>
      </c>
    </row>
    <row r="767" spans="2:5">
      <c r="B767">
        <v>740262</v>
      </c>
      <c r="C767" t="s">
        <v>813</v>
      </c>
      <c r="D767">
        <v>3</v>
      </c>
      <c r="E767" t="str">
        <f>IF(tbl_SalAccts[[#This Row],[Value]]=1,"Salary",IF(tbl_SalAccts[[#This Row],[Value]]=2,"Fringe",IF(tbl_SalAccts[[#This Row],[Value]]=3,"Other","")))</f>
        <v>Other</v>
      </c>
    </row>
    <row r="768" spans="2:5">
      <c r="B768">
        <v>740263</v>
      </c>
      <c r="C768" t="s">
        <v>814</v>
      </c>
      <c r="D768">
        <v>3</v>
      </c>
      <c r="E768" t="str">
        <f>IF(tbl_SalAccts[[#This Row],[Value]]=1,"Salary",IF(tbl_SalAccts[[#This Row],[Value]]=2,"Fringe",IF(tbl_SalAccts[[#This Row],[Value]]=3,"Other","")))</f>
        <v>Other</v>
      </c>
    </row>
    <row r="769" spans="2:5">
      <c r="B769">
        <v>740264</v>
      </c>
      <c r="C769" t="s">
        <v>815</v>
      </c>
      <c r="D769">
        <v>3</v>
      </c>
      <c r="E769" t="str">
        <f>IF(tbl_SalAccts[[#This Row],[Value]]=1,"Salary",IF(tbl_SalAccts[[#This Row],[Value]]=2,"Fringe",IF(tbl_SalAccts[[#This Row],[Value]]=3,"Other","")))</f>
        <v>Other</v>
      </c>
    </row>
    <row r="770" spans="2:5">
      <c r="B770">
        <v>740265</v>
      </c>
      <c r="C770" t="s">
        <v>816</v>
      </c>
      <c r="D770">
        <v>3</v>
      </c>
      <c r="E770" t="str">
        <f>IF(tbl_SalAccts[[#This Row],[Value]]=1,"Salary",IF(tbl_SalAccts[[#This Row],[Value]]=2,"Fringe",IF(tbl_SalAccts[[#This Row],[Value]]=3,"Other","")))</f>
        <v>Other</v>
      </c>
    </row>
    <row r="771" spans="2:5">
      <c r="B771">
        <v>740266</v>
      </c>
      <c r="C771" t="s">
        <v>817</v>
      </c>
      <c r="D771">
        <v>3</v>
      </c>
      <c r="E771" t="str">
        <f>IF(tbl_SalAccts[[#This Row],[Value]]=1,"Salary",IF(tbl_SalAccts[[#This Row],[Value]]=2,"Fringe",IF(tbl_SalAccts[[#This Row],[Value]]=3,"Other","")))</f>
        <v>Other</v>
      </c>
    </row>
    <row r="772" spans="2:5">
      <c r="B772">
        <v>740268</v>
      </c>
      <c r="C772" t="s">
        <v>818</v>
      </c>
      <c r="D772">
        <v>3</v>
      </c>
      <c r="E772" t="str">
        <f>IF(tbl_SalAccts[[#This Row],[Value]]=1,"Salary",IF(tbl_SalAccts[[#This Row],[Value]]=2,"Fringe",IF(tbl_SalAccts[[#This Row],[Value]]=3,"Other","")))</f>
        <v>Other</v>
      </c>
    </row>
    <row r="773" spans="2:5">
      <c r="B773">
        <v>740269</v>
      </c>
      <c r="C773" t="s">
        <v>819</v>
      </c>
      <c r="D773">
        <v>3</v>
      </c>
      <c r="E773" t="str">
        <f>IF(tbl_SalAccts[[#This Row],[Value]]=1,"Salary",IF(tbl_SalAccts[[#This Row],[Value]]=2,"Fringe",IF(tbl_SalAccts[[#This Row],[Value]]=3,"Other","")))</f>
        <v>Other</v>
      </c>
    </row>
    <row r="774" spans="2:5">
      <c r="B774">
        <v>740270</v>
      </c>
      <c r="C774" t="s">
        <v>820</v>
      </c>
      <c r="D774">
        <v>3</v>
      </c>
      <c r="E774" t="str">
        <f>IF(tbl_SalAccts[[#This Row],[Value]]=1,"Salary",IF(tbl_SalAccts[[#This Row],[Value]]=2,"Fringe",IF(tbl_SalAccts[[#This Row],[Value]]=3,"Other","")))</f>
        <v>Other</v>
      </c>
    </row>
    <row r="775" spans="2:5">
      <c r="B775">
        <v>740272</v>
      </c>
      <c r="C775" t="s">
        <v>821</v>
      </c>
      <c r="D775">
        <v>3</v>
      </c>
      <c r="E775" t="str">
        <f>IF(tbl_SalAccts[[#This Row],[Value]]=1,"Salary",IF(tbl_SalAccts[[#This Row],[Value]]=2,"Fringe",IF(tbl_SalAccts[[#This Row],[Value]]=3,"Other","")))</f>
        <v>Other</v>
      </c>
    </row>
    <row r="776" spans="2:5">
      <c r="B776">
        <v>740273</v>
      </c>
      <c r="C776" t="s">
        <v>822</v>
      </c>
      <c r="D776">
        <v>3</v>
      </c>
      <c r="E776" t="str">
        <f>IF(tbl_SalAccts[[#This Row],[Value]]=1,"Salary",IF(tbl_SalAccts[[#This Row],[Value]]=2,"Fringe",IF(tbl_SalAccts[[#This Row],[Value]]=3,"Other","")))</f>
        <v>Other</v>
      </c>
    </row>
    <row r="777" spans="2:5">
      <c r="B777">
        <v>740274</v>
      </c>
      <c r="C777" t="s">
        <v>823</v>
      </c>
      <c r="D777">
        <v>3</v>
      </c>
      <c r="E777" t="str">
        <f>IF(tbl_SalAccts[[#This Row],[Value]]=1,"Salary",IF(tbl_SalAccts[[#This Row],[Value]]=2,"Fringe",IF(tbl_SalAccts[[#This Row],[Value]]=3,"Other","")))</f>
        <v>Other</v>
      </c>
    </row>
    <row r="778" spans="2:5">
      <c r="B778">
        <v>740275</v>
      </c>
      <c r="C778" t="s">
        <v>824</v>
      </c>
      <c r="D778">
        <v>3</v>
      </c>
      <c r="E778" t="str">
        <f>IF(tbl_SalAccts[[#This Row],[Value]]=1,"Salary",IF(tbl_SalAccts[[#This Row],[Value]]=2,"Fringe",IF(tbl_SalAccts[[#This Row],[Value]]=3,"Other","")))</f>
        <v>Other</v>
      </c>
    </row>
    <row r="779" spans="2:5">
      <c r="B779">
        <v>740281</v>
      </c>
      <c r="C779" t="s">
        <v>825</v>
      </c>
      <c r="D779">
        <v>3</v>
      </c>
      <c r="E779" t="str">
        <f>IF(tbl_SalAccts[[#This Row],[Value]]=1,"Salary",IF(tbl_SalAccts[[#This Row],[Value]]=2,"Fringe",IF(tbl_SalAccts[[#This Row],[Value]]=3,"Other","")))</f>
        <v>Other</v>
      </c>
    </row>
    <row r="780" spans="2:5">
      <c r="B780">
        <v>740282</v>
      </c>
      <c r="C780" t="s">
        <v>826</v>
      </c>
      <c r="D780">
        <v>3</v>
      </c>
      <c r="E780" t="str">
        <f>IF(tbl_SalAccts[[#This Row],[Value]]=1,"Salary",IF(tbl_SalAccts[[#This Row],[Value]]=2,"Fringe",IF(tbl_SalAccts[[#This Row],[Value]]=3,"Other","")))</f>
        <v>Other</v>
      </c>
    </row>
    <row r="781" spans="2:5">
      <c r="B781">
        <v>740283</v>
      </c>
      <c r="C781" t="s">
        <v>827</v>
      </c>
      <c r="D781">
        <v>3</v>
      </c>
      <c r="E781" t="str">
        <f>IF(tbl_SalAccts[[#This Row],[Value]]=1,"Salary",IF(tbl_SalAccts[[#This Row],[Value]]=2,"Fringe",IF(tbl_SalAccts[[#This Row],[Value]]=3,"Other","")))</f>
        <v>Other</v>
      </c>
    </row>
    <row r="782" spans="2:5">
      <c r="B782">
        <v>740284</v>
      </c>
      <c r="C782" t="s">
        <v>828</v>
      </c>
      <c r="D782">
        <v>3</v>
      </c>
      <c r="E782" t="str">
        <f>IF(tbl_SalAccts[[#This Row],[Value]]=1,"Salary",IF(tbl_SalAccts[[#This Row],[Value]]=2,"Fringe",IF(tbl_SalAccts[[#This Row],[Value]]=3,"Other","")))</f>
        <v>Other</v>
      </c>
    </row>
    <row r="783" spans="2:5">
      <c r="B783">
        <v>740285</v>
      </c>
      <c r="C783" t="s">
        <v>829</v>
      </c>
      <c r="D783">
        <v>3</v>
      </c>
      <c r="E783" t="str">
        <f>IF(tbl_SalAccts[[#This Row],[Value]]=1,"Salary",IF(tbl_SalAccts[[#This Row],[Value]]=2,"Fringe",IF(tbl_SalAccts[[#This Row],[Value]]=3,"Other","")))</f>
        <v>Other</v>
      </c>
    </row>
    <row r="784" spans="2:5">
      <c r="B784">
        <v>740286</v>
      </c>
      <c r="C784" t="s">
        <v>830</v>
      </c>
      <c r="D784">
        <v>3</v>
      </c>
      <c r="E784" t="str">
        <f>IF(tbl_SalAccts[[#This Row],[Value]]=1,"Salary",IF(tbl_SalAccts[[#This Row],[Value]]=2,"Fringe",IF(tbl_SalAccts[[#This Row],[Value]]=3,"Other","")))</f>
        <v>Other</v>
      </c>
    </row>
    <row r="785" spans="2:5">
      <c r="B785">
        <v>740300</v>
      </c>
      <c r="C785" t="s">
        <v>831</v>
      </c>
      <c r="D785">
        <v>3</v>
      </c>
      <c r="E785" t="str">
        <f>IF(tbl_SalAccts[[#This Row],[Value]]=1,"Salary",IF(tbl_SalAccts[[#This Row],[Value]]=2,"Fringe",IF(tbl_SalAccts[[#This Row],[Value]]=3,"Other","")))</f>
        <v>Other</v>
      </c>
    </row>
    <row r="786" spans="2:5">
      <c r="B786">
        <v>740301</v>
      </c>
      <c r="C786" t="s">
        <v>832</v>
      </c>
      <c r="D786">
        <v>3</v>
      </c>
      <c r="E786" t="str">
        <f>IF(tbl_SalAccts[[#This Row],[Value]]=1,"Salary",IF(tbl_SalAccts[[#This Row],[Value]]=2,"Fringe",IF(tbl_SalAccts[[#This Row],[Value]]=3,"Other","")))</f>
        <v>Other</v>
      </c>
    </row>
    <row r="787" spans="2:5">
      <c r="B787">
        <v>740302</v>
      </c>
      <c r="C787" t="s">
        <v>833</v>
      </c>
      <c r="D787">
        <v>3</v>
      </c>
      <c r="E787" t="str">
        <f>IF(tbl_SalAccts[[#This Row],[Value]]=1,"Salary",IF(tbl_SalAccts[[#This Row],[Value]]=2,"Fringe",IF(tbl_SalAccts[[#This Row],[Value]]=3,"Other","")))</f>
        <v>Other</v>
      </c>
    </row>
    <row r="788" spans="2:5">
      <c r="B788">
        <v>740303</v>
      </c>
      <c r="C788" t="s">
        <v>834</v>
      </c>
      <c r="D788">
        <v>3</v>
      </c>
      <c r="E788" t="str">
        <f>IF(tbl_SalAccts[[#This Row],[Value]]=1,"Salary",IF(tbl_SalAccts[[#This Row],[Value]]=2,"Fringe",IF(tbl_SalAccts[[#This Row],[Value]]=3,"Other","")))</f>
        <v>Other</v>
      </c>
    </row>
    <row r="789" spans="2:5">
      <c r="B789">
        <v>740304</v>
      </c>
      <c r="C789" t="s">
        <v>835</v>
      </c>
      <c r="D789">
        <v>3</v>
      </c>
      <c r="E789" t="str">
        <f>IF(tbl_SalAccts[[#This Row],[Value]]=1,"Salary",IF(tbl_SalAccts[[#This Row],[Value]]=2,"Fringe",IF(tbl_SalAccts[[#This Row],[Value]]=3,"Other","")))</f>
        <v>Other</v>
      </c>
    </row>
    <row r="790" spans="2:5">
      <c r="B790">
        <v>740305</v>
      </c>
      <c r="C790" t="s">
        <v>836</v>
      </c>
      <c r="D790">
        <v>3</v>
      </c>
      <c r="E790" t="str">
        <f>IF(tbl_SalAccts[[#This Row],[Value]]=1,"Salary",IF(tbl_SalAccts[[#This Row],[Value]]=2,"Fringe",IF(tbl_SalAccts[[#This Row],[Value]]=3,"Other","")))</f>
        <v>Other</v>
      </c>
    </row>
    <row r="791" spans="2:5">
      <c r="B791">
        <v>740306</v>
      </c>
      <c r="C791" t="s">
        <v>837</v>
      </c>
      <c r="D791">
        <v>3</v>
      </c>
      <c r="E791" t="str">
        <f>IF(tbl_SalAccts[[#This Row],[Value]]=1,"Salary",IF(tbl_SalAccts[[#This Row],[Value]]=2,"Fringe",IF(tbl_SalAccts[[#This Row],[Value]]=3,"Other","")))</f>
        <v>Other</v>
      </c>
    </row>
    <row r="792" spans="2:5">
      <c r="B792">
        <v>740307</v>
      </c>
      <c r="C792" t="s">
        <v>838</v>
      </c>
      <c r="D792">
        <v>3</v>
      </c>
      <c r="E792" t="str">
        <f>IF(tbl_SalAccts[[#This Row],[Value]]=1,"Salary",IF(tbl_SalAccts[[#This Row],[Value]]=2,"Fringe",IF(tbl_SalAccts[[#This Row],[Value]]=3,"Other","")))</f>
        <v>Other</v>
      </c>
    </row>
    <row r="793" spans="2:5">
      <c r="B793">
        <v>740308</v>
      </c>
      <c r="C793" t="s">
        <v>839</v>
      </c>
      <c r="D793">
        <v>3</v>
      </c>
      <c r="E793" t="str">
        <f>IF(tbl_SalAccts[[#This Row],[Value]]=1,"Salary",IF(tbl_SalAccts[[#This Row],[Value]]=2,"Fringe",IF(tbl_SalAccts[[#This Row],[Value]]=3,"Other","")))</f>
        <v>Other</v>
      </c>
    </row>
    <row r="794" spans="2:5">
      <c r="B794">
        <v>740309</v>
      </c>
      <c r="C794" t="s">
        <v>840</v>
      </c>
      <c r="D794">
        <v>3</v>
      </c>
      <c r="E794" t="str">
        <f>IF(tbl_SalAccts[[#This Row],[Value]]=1,"Salary",IF(tbl_SalAccts[[#This Row],[Value]]=2,"Fringe",IF(tbl_SalAccts[[#This Row],[Value]]=3,"Other","")))</f>
        <v>Other</v>
      </c>
    </row>
    <row r="795" spans="2:5">
      <c r="B795">
        <v>740310</v>
      </c>
      <c r="C795" t="s">
        <v>841</v>
      </c>
      <c r="D795">
        <v>3</v>
      </c>
      <c r="E795" t="str">
        <f>IF(tbl_SalAccts[[#This Row],[Value]]=1,"Salary",IF(tbl_SalAccts[[#This Row],[Value]]=2,"Fringe",IF(tbl_SalAccts[[#This Row],[Value]]=3,"Other","")))</f>
        <v>Other</v>
      </c>
    </row>
    <row r="796" spans="2:5">
      <c r="B796">
        <v>740311</v>
      </c>
      <c r="C796" t="s">
        <v>842</v>
      </c>
      <c r="D796">
        <v>3</v>
      </c>
      <c r="E796" t="str">
        <f>IF(tbl_SalAccts[[#This Row],[Value]]=1,"Salary",IF(tbl_SalAccts[[#This Row],[Value]]=2,"Fringe",IF(tbl_SalAccts[[#This Row],[Value]]=3,"Other","")))</f>
        <v>Other</v>
      </c>
    </row>
    <row r="797" spans="2:5">
      <c r="B797">
        <v>740350</v>
      </c>
      <c r="C797" t="s">
        <v>843</v>
      </c>
      <c r="D797">
        <v>3</v>
      </c>
      <c r="E797" t="str">
        <f>IF(tbl_SalAccts[[#This Row],[Value]]=1,"Salary",IF(tbl_SalAccts[[#This Row],[Value]]=2,"Fringe",IF(tbl_SalAccts[[#This Row],[Value]]=3,"Other","")))</f>
        <v>Other</v>
      </c>
    </row>
    <row r="798" spans="2:5">
      <c r="B798">
        <v>740351</v>
      </c>
      <c r="C798" t="s">
        <v>844</v>
      </c>
      <c r="D798">
        <v>3</v>
      </c>
      <c r="E798" t="str">
        <f>IF(tbl_SalAccts[[#This Row],[Value]]=1,"Salary",IF(tbl_SalAccts[[#This Row],[Value]]=2,"Fringe",IF(tbl_SalAccts[[#This Row],[Value]]=3,"Other","")))</f>
        <v>Other</v>
      </c>
    </row>
    <row r="799" spans="2:5">
      <c r="B799">
        <v>740352</v>
      </c>
      <c r="C799" t="s">
        <v>845</v>
      </c>
      <c r="D799">
        <v>3</v>
      </c>
      <c r="E799" t="str">
        <f>IF(tbl_SalAccts[[#This Row],[Value]]=1,"Salary",IF(tbl_SalAccts[[#This Row],[Value]]=2,"Fringe",IF(tbl_SalAccts[[#This Row],[Value]]=3,"Other","")))</f>
        <v>Other</v>
      </c>
    </row>
    <row r="800" spans="2:5">
      <c r="B800">
        <v>740353</v>
      </c>
      <c r="C800" t="s">
        <v>846</v>
      </c>
      <c r="D800">
        <v>3</v>
      </c>
      <c r="E800" t="str">
        <f>IF(tbl_SalAccts[[#This Row],[Value]]=1,"Salary",IF(tbl_SalAccts[[#This Row],[Value]]=2,"Fringe",IF(tbl_SalAccts[[#This Row],[Value]]=3,"Other","")))</f>
        <v>Other</v>
      </c>
    </row>
    <row r="801" spans="2:5">
      <c r="B801">
        <v>740354</v>
      </c>
      <c r="C801" t="s">
        <v>847</v>
      </c>
      <c r="D801">
        <v>3</v>
      </c>
      <c r="E801" t="str">
        <f>IF(tbl_SalAccts[[#This Row],[Value]]=1,"Salary",IF(tbl_SalAccts[[#This Row],[Value]]=2,"Fringe",IF(tbl_SalAccts[[#This Row],[Value]]=3,"Other","")))</f>
        <v>Other</v>
      </c>
    </row>
    <row r="802" spans="2:5">
      <c r="B802">
        <v>740355</v>
      </c>
      <c r="C802" t="s">
        <v>848</v>
      </c>
      <c r="D802">
        <v>3</v>
      </c>
      <c r="E802" t="str">
        <f>IF(tbl_SalAccts[[#This Row],[Value]]=1,"Salary",IF(tbl_SalAccts[[#This Row],[Value]]=2,"Fringe",IF(tbl_SalAccts[[#This Row],[Value]]=3,"Other","")))</f>
        <v>Other</v>
      </c>
    </row>
    <row r="803" spans="2:5">
      <c r="B803">
        <v>740356</v>
      </c>
      <c r="C803" t="s">
        <v>849</v>
      </c>
      <c r="D803">
        <v>3</v>
      </c>
      <c r="E803" t="str">
        <f>IF(tbl_SalAccts[[#This Row],[Value]]=1,"Salary",IF(tbl_SalAccts[[#This Row],[Value]]=2,"Fringe",IF(tbl_SalAccts[[#This Row],[Value]]=3,"Other","")))</f>
        <v>Other</v>
      </c>
    </row>
    <row r="804" spans="2:5">
      <c r="B804">
        <v>740451</v>
      </c>
      <c r="C804" t="s">
        <v>850</v>
      </c>
      <c r="D804">
        <v>3</v>
      </c>
      <c r="E804" t="str">
        <f>IF(tbl_SalAccts[[#This Row],[Value]]=1,"Salary",IF(tbl_SalAccts[[#This Row],[Value]]=2,"Fringe",IF(tbl_SalAccts[[#This Row],[Value]]=3,"Other","")))</f>
        <v>Other</v>
      </c>
    </row>
    <row r="805" spans="2:5">
      <c r="B805">
        <v>740452</v>
      </c>
      <c r="C805" t="s">
        <v>851</v>
      </c>
      <c r="D805">
        <v>3</v>
      </c>
      <c r="E805" t="str">
        <f>IF(tbl_SalAccts[[#This Row],[Value]]=1,"Salary",IF(tbl_SalAccts[[#This Row],[Value]]=2,"Fringe",IF(tbl_SalAccts[[#This Row],[Value]]=3,"Other","")))</f>
        <v>Other</v>
      </c>
    </row>
    <row r="806" spans="2:5">
      <c r="B806">
        <v>740453</v>
      </c>
      <c r="C806" t="s">
        <v>852</v>
      </c>
      <c r="D806">
        <v>3</v>
      </c>
      <c r="E806" t="str">
        <f>IF(tbl_SalAccts[[#This Row],[Value]]=1,"Salary",IF(tbl_SalAccts[[#This Row],[Value]]=2,"Fringe",IF(tbl_SalAccts[[#This Row],[Value]]=3,"Other","")))</f>
        <v>Other</v>
      </c>
    </row>
    <row r="807" spans="2:5">
      <c r="B807">
        <v>740500</v>
      </c>
      <c r="C807" t="s">
        <v>853</v>
      </c>
      <c r="D807">
        <v>3</v>
      </c>
      <c r="E807" t="str">
        <f>IF(tbl_SalAccts[[#This Row],[Value]]=1,"Salary",IF(tbl_SalAccts[[#This Row],[Value]]=2,"Fringe",IF(tbl_SalAccts[[#This Row],[Value]]=3,"Other","")))</f>
        <v>Other</v>
      </c>
    </row>
    <row r="808" spans="2:5">
      <c r="B808">
        <v>740501</v>
      </c>
      <c r="C808" t="s">
        <v>854</v>
      </c>
      <c r="D808">
        <v>3</v>
      </c>
      <c r="E808" t="str">
        <f>IF(tbl_SalAccts[[#This Row],[Value]]=1,"Salary",IF(tbl_SalAccts[[#This Row],[Value]]=2,"Fringe",IF(tbl_SalAccts[[#This Row],[Value]]=3,"Other","")))</f>
        <v>Other</v>
      </c>
    </row>
    <row r="809" spans="2:5">
      <c r="B809">
        <v>740502</v>
      </c>
      <c r="C809" t="s">
        <v>855</v>
      </c>
      <c r="D809">
        <v>3</v>
      </c>
      <c r="E809" t="str">
        <f>IF(tbl_SalAccts[[#This Row],[Value]]=1,"Salary",IF(tbl_SalAccts[[#This Row],[Value]]=2,"Fringe",IF(tbl_SalAccts[[#This Row],[Value]]=3,"Other","")))</f>
        <v>Other</v>
      </c>
    </row>
    <row r="810" spans="2:5">
      <c r="B810">
        <v>740503</v>
      </c>
      <c r="C810" t="s">
        <v>856</v>
      </c>
      <c r="D810">
        <v>3</v>
      </c>
      <c r="E810" t="str">
        <f>IF(tbl_SalAccts[[#This Row],[Value]]=1,"Salary",IF(tbl_SalAccts[[#This Row],[Value]]=2,"Fringe",IF(tbl_SalAccts[[#This Row],[Value]]=3,"Other","")))</f>
        <v>Other</v>
      </c>
    </row>
    <row r="811" spans="2:5">
      <c r="B811">
        <v>740504</v>
      </c>
      <c r="C811" t="s">
        <v>857</v>
      </c>
      <c r="D811">
        <v>3</v>
      </c>
      <c r="E811" t="str">
        <f>IF(tbl_SalAccts[[#This Row],[Value]]=1,"Salary",IF(tbl_SalAccts[[#This Row],[Value]]=2,"Fringe",IF(tbl_SalAccts[[#This Row],[Value]]=3,"Other","")))</f>
        <v>Other</v>
      </c>
    </row>
    <row r="812" spans="2:5">
      <c r="B812">
        <v>740521</v>
      </c>
      <c r="C812" t="s">
        <v>858</v>
      </c>
      <c r="D812">
        <v>3</v>
      </c>
      <c r="E812" t="str">
        <f>IF(tbl_SalAccts[[#This Row],[Value]]=1,"Salary",IF(tbl_SalAccts[[#This Row],[Value]]=2,"Fringe",IF(tbl_SalAccts[[#This Row],[Value]]=3,"Other","")))</f>
        <v>Other</v>
      </c>
    </row>
    <row r="813" spans="2:5">
      <c r="B813">
        <v>740522</v>
      </c>
      <c r="C813" t="s">
        <v>859</v>
      </c>
      <c r="D813">
        <v>3</v>
      </c>
      <c r="E813" t="str">
        <f>IF(tbl_SalAccts[[#This Row],[Value]]=1,"Salary",IF(tbl_SalAccts[[#This Row],[Value]]=2,"Fringe",IF(tbl_SalAccts[[#This Row],[Value]]=3,"Other","")))</f>
        <v>Other</v>
      </c>
    </row>
    <row r="814" spans="2:5">
      <c r="B814">
        <v>740523</v>
      </c>
      <c r="C814" t="s">
        <v>860</v>
      </c>
      <c r="D814">
        <v>3</v>
      </c>
      <c r="E814" t="str">
        <f>IF(tbl_SalAccts[[#This Row],[Value]]=1,"Salary",IF(tbl_SalAccts[[#This Row],[Value]]=2,"Fringe",IF(tbl_SalAccts[[#This Row],[Value]]=3,"Other","")))</f>
        <v>Other</v>
      </c>
    </row>
    <row r="815" spans="2:5">
      <c r="B815">
        <v>740524</v>
      </c>
      <c r="C815" t="s">
        <v>861</v>
      </c>
      <c r="D815">
        <v>3</v>
      </c>
      <c r="E815" t="str">
        <f>IF(tbl_SalAccts[[#This Row],[Value]]=1,"Salary",IF(tbl_SalAccts[[#This Row],[Value]]=2,"Fringe",IF(tbl_SalAccts[[#This Row],[Value]]=3,"Other","")))</f>
        <v>Other</v>
      </c>
    </row>
    <row r="816" spans="2:5">
      <c r="B816">
        <v>740540</v>
      </c>
      <c r="C816" t="s">
        <v>862</v>
      </c>
      <c r="D816">
        <v>3</v>
      </c>
      <c r="E816" t="str">
        <f>IF(tbl_SalAccts[[#This Row],[Value]]=1,"Salary",IF(tbl_SalAccts[[#This Row],[Value]]=2,"Fringe",IF(tbl_SalAccts[[#This Row],[Value]]=3,"Other","")))</f>
        <v>Other</v>
      </c>
    </row>
    <row r="817" spans="2:5">
      <c r="B817">
        <v>740541</v>
      </c>
      <c r="C817" t="s">
        <v>863</v>
      </c>
      <c r="D817">
        <v>3</v>
      </c>
      <c r="E817" t="str">
        <f>IF(tbl_SalAccts[[#This Row],[Value]]=1,"Salary",IF(tbl_SalAccts[[#This Row],[Value]]=2,"Fringe",IF(tbl_SalAccts[[#This Row],[Value]]=3,"Other","")))</f>
        <v>Other</v>
      </c>
    </row>
    <row r="818" spans="2:5">
      <c r="B818">
        <v>740542</v>
      </c>
      <c r="C818" t="s">
        <v>864</v>
      </c>
      <c r="D818">
        <v>3</v>
      </c>
      <c r="E818" t="str">
        <f>IF(tbl_SalAccts[[#This Row],[Value]]=1,"Salary",IF(tbl_SalAccts[[#This Row],[Value]]=2,"Fringe",IF(tbl_SalAccts[[#This Row],[Value]]=3,"Other","")))</f>
        <v>Other</v>
      </c>
    </row>
    <row r="819" spans="2:5">
      <c r="B819">
        <v>740543</v>
      </c>
      <c r="C819" t="s">
        <v>865</v>
      </c>
      <c r="D819">
        <v>3</v>
      </c>
      <c r="E819" t="str">
        <f>IF(tbl_SalAccts[[#This Row],[Value]]=1,"Salary",IF(tbl_SalAccts[[#This Row],[Value]]=2,"Fringe",IF(tbl_SalAccts[[#This Row],[Value]]=3,"Other","")))</f>
        <v>Other</v>
      </c>
    </row>
    <row r="820" spans="2:5">
      <c r="B820">
        <v>740544</v>
      </c>
      <c r="C820" t="s">
        <v>866</v>
      </c>
      <c r="D820">
        <v>3</v>
      </c>
      <c r="E820" t="str">
        <f>IF(tbl_SalAccts[[#This Row],[Value]]=1,"Salary",IF(tbl_SalAccts[[#This Row],[Value]]=2,"Fringe",IF(tbl_SalAccts[[#This Row],[Value]]=3,"Other","")))</f>
        <v>Other</v>
      </c>
    </row>
    <row r="821" spans="2:5">
      <c r="B821">
        <v>740551</v>
      </c>
      <c r="C821" t="s">
        <v>867</v>
      </c>
      <c r="D821">
        <v>3</v>
      </c>
      <c r="E821" t="str">
        <f>IF(tbl_SalAccts[[#This Row],[Value]]=1,"Salary",IF(tbl_SalAccts[[#This Row],[Value]]=2,"Fringe",IF(tbl_SalAccts[[#This Row],[Value]]=3,"Other","")))</f>
        <v>Other</v>
      </c>
    </row>
    <row r="822" spans="2:5">
      <c r="B822">
        <v>740571</v>
      </c>
      <c r="C822" t="s">
        <v>868</v>
      </c>
      <c r="D822">
        <v>3</v>
      </c>
      <c r="E822" t="str">
        <f>IF(tbl_SalAccts[[#This Row],[Value]]=1,"Salary",IF(tbl_SalAccts[[#This Row],[Value]]=2,"Fringe",IF(tbl_SalAccts[[#This Row],[Value]]=3,"Other","")))</f>
        <v>Other</v>
      </c>
    </row>
    <row r="823" spans="2:5">
      <c r="B823">
        <v>740601</v>
      </c>
      <c r="C823" t="s">
        <v>869</v>
      </c>
      <c r="D823">
        <v>3</v>
      </c>
      <c r="E823" t="str">
        <f>IF(tbl_SalAccts[[#This Row],[Value]]=1,"Salary",IF(tbl_SalAccts[[#This Row],[Value]]=2,"Fringe",IF(tbl_SalAccts[[#This Row],[Value]]=3,"Other","")))</f>
        <v>Other</v>
      </c>
    </row>
    <row r="824" spans="2:5">
      <c r="B824">
        <v>740602</v>
      </c>
      <c r="C824" t="s">
        <v>870</v>
      </c>
      <c r="D824">
        <v>3</v>
      </c>
      <c r="E824" t="str">
        <f>IF(tbl_SalAccts[[#This Row],[Value]]=1,"Salary",IF(tbl_SalAccts[[#This Row],[Value]]=2,"Fringe",IF(tbl_SalAccts[[#This Row],[Value]]=3,"Other","")))</f>
        <v>Other</v>
      </c>
    </row>
    <row r="825" spans="2:5">
      <c r="B825">
        <v>740603</v>
      </c>
      <c r="C825" t="s">
        <v>871</v>
      </c>
      <c r="D825">
        <v>3</v>
      </c>
      <c r="E825" t="str">
        <f>IF(tbl_SalAccts[[#This Row],[Value]]=1,"Salary",IF(tbl_SalAccts[[#This Row],[Value]]=2,"Fringe",IF(tbl_SalAccts[[#This Row],[Value]]=3,"Other","")))</f>
        <v>Other</v>
      </c>
    </row>
    <row r="826" spans="2:5">
      <c r="B826">
        <v>740604</v>
      </c>
      <c r="C826" t="s">
        <v>872</v>
      </c>
      <c r="D826">
        <v>3</v>
      </c>
      <c r="E826" t="str">
        <f>IF(tbl_SalAccts[[#This Row],[Value]]=1,"Salary",IF(tbl_SalAccts[[#This Row],[Value]]=2,"Fringe",IF(tbl_SalAccts[[#This Row],[Value]]=3,"Other","")))</f>
        <v>Other</v>
      </c>
    </row>
    <row r="827" spans="2:5">
      <c r="B827">
        <v>740700</v>
      </c>
      <c r="C827" t="s">
        <v>873</v>
      </c>
      <c r="D827">
        <v>3</v>
      </c>
      <c r="E827" t="str">
        <f>IF(tbl_SalAccts[[#This Row],[Value]]=1,"Salary",IF(tbl_SalAccts[[#This Row],[Value]]=2,"Fringe",IF(tbl_SalAccts[[#This Row],[Value]]=3,"Other","")))</f>
        <v>Other</v>
      </c>
    </row>
    <row r="828" spans="2:5">
      <c r="B828">
        <v>740703</v>
      </c>
      <c r="C828" t="s">
        <v>874</v>
      </c>
      <c r="D828">
        <v>3</v>
      </c>
      <c r="E828" t="str">
        <f>IF(tbl_SalAccts[[#This Row],[Value]]=1,"Salary",IF(tbl_SalAccts[[#This Row],[Value]]=2,"Fringe",IF(tbl_SalAccts[[#This Row],[Value]]=3,"Other","")))</f>
        <v>Other</v>
      </c>
    </row>
    <row r="829" spans="2:5">
      <c r="B829">
        <v>740704</v>
      </c>
      <c r="C829" t="s">
        <v>875</v>
      </c>
      <c r="D829">
        <v>3</v>
      </c>
      <c r="E829" t="str">
        <f>IF(tbl_SalAccts[[#This Row],[Value]]=1,"Salary",IF(tbl_SalAccts[[#This Row],[Value]]=2,"Fringe",IF(tbl_SalAccts[[#This Row],[Value]]=3,"Other","")))</f>
        <v>Other</v>
      </c>
    </row>
    <row r="830" spans="2:5">
      <c r="B830">
        <v>740705</v>
      </c>
      <c r="C830" t="s">
        <v>876</v>
      </c>
      <c r="D830">
        <v>3</v>
      </c>
      <c r="E830" t="str">
        <f>IF(tbl_SalAccts[[#This Row],[Value]]=1,"Salary",IF(tbl_SalAccts[[#This Row],[Value]]=2,"Fringe",IF(tbl_SalAccts[[#This Row],[Value]]=3,"Other","")))</f>
        <v>Other</v>
      </c>
    </row>
    <row r="831" spans="2:5">
      <c r="B831">
        <v>740706</v>
      </c>
      <c r="C831" t="s">
        <v>877</v>
      </c>
      <c r="D831">
        <v>3</v>
      </c>
      <c r="E831" t="str">
        <f>IF(tbl_SalAccts[[#This Row],[Value]]=1,"Salary",IF(tbl_SalAccts[[#This Row],[Value]]=2,"Fringe",IF(tbl_SalAccts[[#This Row],[Value]]=3,"Other","")))</f>
        <v>Other</v>
      </c>
    </row>
    <row r="832" spans="2:5">
      <c r="B832">
        <v>740707</v>
      </c>
      <c r="C832" t="s">
        <v>878</v>
      </c>
      <c r="D832">
        <v>3</v>
      </c>
      <c r="E832" t="str">
        <f>IF(tbl_SalAccts[[#This Row],[Value]]=1,"Salary",IF(tbl_SalAccts[[#This Row],[Value]]=2,"Fringe",IF(tbl_SalAccts[[#This Row],[Value]]=3,"Other","")))</f>
        <v>Other</v>
      </c>
    </row>
    <row r="833" spans="2:5">
      <c r="B833">
        <v>740708</v>
      </c>
      <c r="C833" t="s">
        <v>879</v>
      </c>
      <c r="D833">
        <v>3</v>
      </c>
      <c r="E833" t="str">
        <f>IF(tbl_SalAccts[[#This Row],[Value]]=1,"Salary",IF(tbl_SalAccts[[#This Row],[Value]]=2,"Fringe",IF(tbl_SalAccts[[#This Row],[Value]]=3,"Other","")))</f>
        <v>Other</v>
      </c>
    </row>
    <row r="834" spans="2:5">
      <c r="B834">
        <v>740709</v>
      </c>
      <c r="C834" t="s">
        <v>880</v>
      </c>
      <c r="D834">
        <v>3</v>
      </c>
      <c r="E834" t="str">
        <f>IF(tbl_SalAccts[[#This Row],[Value]]=1,"Salary",IF(tbl_SalAccts[[#This Row],[Value]]=2,"Fringe",IF(tbl_SalAccts[[#This Row],[Value]]=3,"Other","")))</f>
        <v>Other</v>
      </c>
    </row>
    <row r="835" spans="2:5">
      <c r="B835">
        <v>740710</v>
      </c>
      <c r="C835" t="s">
        <v>881</v>
      </c>
      <c r="D835">
        <v>3</v>
      </c>
      <c r="E835" t="str">
        <f>IF(tbl_SalAccts[[#This Row],[Value]]=1,"Salary",IF(tbl_SalAccts[[#This Row],[Value]]=2,"Fringe",IF(tbl_SalAccts[[#This Row],[Value]]=3,"Other","")))</f>
        <v>Other</v>
      </c>
    </row>
    <row r="836" spans="2:5">
      <c r="B836">
        <v>740711</v>
      </c>
      <c r="C836" t="s">
        <v>882</v>
      </c>
      <c r="D836">
        <v>3</v>
      </c>
      <c r="E836" t="str">
        <f>IF(tbl_SalAccts[[#This Row],[Value]]=1,"Salary",IF(tbl_SalAccts[[#This Row],[Value]]=2,"Fringe",IF(tbl_SalAccts[[#This Row],[Value]]=3,"Other","")))</f>
        <v>Other</v>
      </c>
    </row>
    <row r="837" spans="2:5">
      <c r="B837">
        <v>740712</v>
      </c>
      <c r="C837" t="s">
        <v>883</v>
      </c>
      <c r="D837">
        <v>3</v>
      </c>
      <c r="E837" t="str">
        <f>IF(tbl_SalAccts[[#This Row],[Value]]=1,"Salary",IF(tbl_SalAccts[[#This Row],[Value]]=2,"Fringe",IF(tbl_SalAccts[[#This Row],[Value]]=3,"Other","")))</f>
        <v>Other</v>
      </c>
    </row>
    <row r="838" spans="2:5">
      <c r="B838">
        <v>740715</v>
      </c>
      <c r="C838" t="s">
        <v>884</v>
      </c>
      <c r="D838">
        <v>3</v>
      </c>
      <c r="E838" t="str">
        <f>IF(tbl_SalAccts[[#This Row],[Value]]=1,"Salary",IF(tbl_SalAccts[[#This Row],[Value]]=2,"Fringe",IF(tbl_SalAccts[[#This Row],[Value]]=3,"Other","")))</f>
        <v>Other</v>
      </c>
    </row>
    <row r="839" spans="2:5">
      <c r="B839">
        <v>740719</v>
      </c>
      <c r="C839" t="s">
        <v>885</v>
      </c>
      <c r="D839">
        <v>3</v>
      </c>
      <c r="E839" t="str">
        <f>IF(tbl_SalAccts[[#This Row],[Value]]=1,"Salary",IF(tbl_SalAccts[[#This Row],[Value]]=2,"Fringe",IF(tbl_SalAccts[[#This Row],[Value]]=3,"Other","")))</f>
        <v>Other</v>
      </c>
    </row>
    <row r="840" spans="2:5">
      <c r="B840">
        <v>740720</v>
      </c>
      <c r="C840" t="s">
        <v>886</v>
      </c>
      <c r="D840">
        <v>3</v>
      </c>
      <c r="E840" t="str">
        <f>IF(tbl_SalAccts[[#This Row],[Value]]=1,"Salary",IF(tbl_SalAccts[[#This Row],[Value]]=2,"Fringe",IF(tbl_SalAccts[[#This Row],[Value]]=3,"Other","")))</f>
        <v>Other</v>
      </c>
    </row>
    <row r="841" spans="2:5">
      <c r="B841">
        <v>740721</v>
      </c>
      <c r="C841" t="s">
        <v>887</v>
      </c>
      <c r="D841">
        <v>3</v>
      </c>
      <c r="E841" t="str">
        <f>IF(tbl_SalAccts[[#This Row],[Value]]=1,"Salary",IF(tbl_SalAccts[[#This Row],[Value]]=2,"Fringe",IF(tbl_SalAccts[[#This Row],[Value]]=3,"Other","")))</f>
        <v>Other</v>
      </c>
    </row>
    <row r="842" spans="2:5">
      <c r="B842">
        <v>740722</v>
      </c>
      <c r="C842" t="s">
        <v>888</v>
      </c>
      <c r="D842">
        <v>3</v>
      </c>
      <c r="E842" t="str">
        <f>IF(tbl_SalAccts[[#This Row],[Value]]=1,"Salary",IF(tbl_SalAccts[[#This Row],[Value]]=2,"Fringe",IF(tbl_SalAccts[[#This Row],[Value]]=3,"Other","")))</f>
        <v>Other</v>
      </c>
    </row>
    <row r="843" spans="2:5">
      <c r="B843">
        <v>740730</v>
      </c>
      <c r="C843" t="s">
        <v>889</v>
      </c>
      <c r="D843">
        <v>3</v>
      </c>
      <c r="E843" t="str">
        <f>IF(tbl_SalAccts[[#This Row],[Value]]=1,"Salary",IF(tbl_SalAccts[[#This Row],[Value]]=2,"Fringe",IF(tbl_SalAccts[[#This Row],[Value]]=3,"Other","")))</f>
        <v>Other</v>
      </c>
    </row>
    <row r="844" spans="2:5">
      <c r="B844">
        <v>740741</v>
      </c>
      <c r="C844" t="s">
        <v>890</v>
      </c>
      <c r="D844">
        <v>3</v>
      </c>
      <c r="E844" t="str">
        <f>IF(tbl_SalAccts[[#This Row],[Value]]=1,"Salary",IF(tbl_SalAccts[[#This Row],[Value]]=2,"Fringe",IF(tbl_SalAccts[[#This Row],[Value]]=3,"Other","")))</f>
        <v>Other</v>
      </c>
    </row>
    <row r="845" spans="2:5">
      <c r="B845">
        <v>740742</v>
      </c>
      <c r="C845" t="s">
        <v>891</v>
      </c>
      <c r="D845">
        <v>3</v>
      </c>
      <c r="E845" t="str">
        <f>IF(tbl_SalAccts[[#This Row],[Value]]=1,"Salary",IF(tbl_SalAccts[[#This Row],[Value]]=2,"Fringe",IF(tbl_SalAccts[[#This Row],[Value]]=3,"Other","")))</f>
        <v>Other</v>
      </c>
    </row>
    <row r="846" spans="2:5">
      <c r="B846">
        <v>740802</v>
      </c>
      <c r="C846" t="s">
        <v>892</v>
      </c>
      <c r="D846">
        <v>3</v>
      </c>
      <c r="E846" t="str">
        <f>IF(tbl_SalAccts[[#This Row],[Value]]=1,"Salary",IF(tbl_SalAccts[[#This Row],[Value]]=2,"Fringe",IF(tbl_SalAccts[[#This Row],[Value]]=3,"Other","")))</f>
        <v>Other</v>
      </c>
    </row>
    <row r="847" spans="2:5">
      <c r="B847">
        <v>740803</v>
      </c>
      <c r="C847" t="s">
        <v>893</v>
      </c>
      <c r="D847">
        <v>3</v>
      </c>
      <c r="E847" t="str">
        <f>IF(tbl_SalAccts[[#This Row],[Value]]=1,"Salary",IF(tbl_SalAccts[[#This Row],[Value]]=2,"Fringe",IF(tbl_SalAccts[[#This Row],[Value]]=3,"Other","")))</f>
        <v>Other</v>
      </c>
    </row>
    <row r="848" spans="2:5">
      <c r="B848">
        <v>740804</v>
      </c>
      <c r="C848" t="s">
        <v>894</v>
      </c>
      <c r="D848">
        <v>3</v>
      </c>
      <c r="E848" t="str">
        <f>IF(tbl_SalAccts[[#This Row],[Value]]=1,"Salary",IF(tbl_SalAccts[[#This Row],[Value]]=2,"Fringe",IF(tbl_SalAccts[[#This Row],[Value]]=3,"Other","")))</f>
        <v>Other</v>
      </c>
    </row>
    <row r="849" spans="2:5">
      <c r="B849">
        <v>740811</v>
      </c>
      <c r="C849" t="s">
        <v>895</v>
      </c>
      <c r="D849">
        <v>3</v>
      </c>
      <c r="E849" t="str">
        <f>IF(tbl_SalAccts[[#This Row],[Value]]=1,"Salary",IF(tbl_SalAccts[[#This Row],[Value]]=2,"Fringe",IF(tbl_SalAccts[[#This Row],[Value]]=3,"Other","")))</f>
        <v>Other</v>
      </c>
    </row>
    <row r="850" spans="2:5">
      <c r="B850">
        <v>740821</v>
      </c>
      <c r="C850" t="s">
        <v>896</v>
      </c>
      <c r="D850">
        <v>3</v>
      </c>
      <c r="E850" t="str">
        <f>IF(tbl_SalAccts[[#This Row],[Value]]=1,"Salary",IF(tbl_SalAccts[[#This Row],[Value]]=2,"Fringe",IF(tbl_SalAccts[[#This Row],[Value]]=3,"Other","")))</f>
        <v>Other</v>
      </c>
    </row>
    <row r="851" spans="2:5">
      <c r="B851">
        <v>740822</v>
      </c>
      <c r="C851" t="s">
        <v>897</v>
      </c>
      <c r="D851">
        <v>3</v>
      </c>
      <c r="E851" t="str">
        <f>IF(tbl_SalAccts[[#This Row],[Value]]=1,"Salary",IF(tbl_SalAccts[[#This Row],[Value]]=2,"Fringe",IF(tbl_SalAccts[[#This Row],[Value]]=3,"Other","")))</f>
        <v>Other</v>
      </c>
    </row>
    <row r="852" spans="2:5">
      <c r="B852">
        <v>740823</v>
      </c>
      <c r="C852" t="s">
        <v>898</v>
      </c>
      <c r="D852">
        <v>3</v>
      </c>
      <c r="E852" t="str">
        <f>IF(tbl_SalAccts[[#This Row],[Value]]=1,"Salary",IF(tbl_SalAccts[[#This Row],[Value]]=2,"Fringe",IF(tbl_SalAccts[[#This Row],[Value]]=3,"Other","")))</f>
        <v>Other</v>
      </c>
    </row>
    <row r="853" spans="2:5">
      <c r="B853">
        <v>740824</v>
      </c>
      <c r="C853" t="s">
        <v>899</v>
      </c>
      <c r="D853">
        <v>3</v>
      </c>
      <c r="E853" t="str">
        <f>IF(tbl_SalAccts[[#This Row],[Value]]=1,"Salary",IF(tbl_SalAccts[[#This Row],[Value]]=2,"Fringe",IF(tbl_SalAccts[[#This Row],[Value]]=3,"Other","")))</f>
        <v>Other</v>
      </c>
    </row>
    <row r="854" spans="2:5">
      <c r="B854">
        <v>740831</v>
      </c>
      <c r="C854" t="s">
        <v>900</v>
      </c>
      <c r="D854">
        <v>3</v>
      </c>
      <c r="E854" t="str">
        <f>IF(tbl_SalAccts[[#This Row],[Value]]=1,"Salary",IF(tbl_SalAccts[[#This Row],[Value]]=2,"Fringe",IF(tbl_SalAccts[[#This Row],[Value]]=3,"Other","")))</f>
        <v>Other</v>
      </c>
    </row>
    <row r="855" spans="2:5">
      <c r="B855">
        <v>740832</v>
      </c>
      <c r="C855" t="s">
        <v>901</v>
      </c>
      <c r="D855">
        <v>3</v>
      </c>
      <c r="E855" t="str">
        <f>IF(tbl_SalAccts[[#This Row],[Value]]=1,"Salary",IF(tbl_SalAccts[[#This Row],[Value]]=2,"Fringe",IF(tbl_SalAccts[[#This Row],[Value]]=3,"Other","")))</f>
        <v>Other</v>
      </c>
    </row>
    <row r="856" spans="2:5">
      <c r="B856">
        <v>740841</v>
      </c>
      <c r="C856" t="s">
        <v>902</v>
      </c>
      <c r="D856">
        <v>3</v>
      </c>
      <c r="E856" t="str">
        <f>IF(tbl_SalAccts[[#This Row],[Value]]=1,"Salary",IF(tbl_SalAccts[[#This Row],[Value]]=2,"Fringe",IF(tbl_SalAccts[[#This Row],[Value]]=3,"Other","")))</f>
        <v>Other</v>
      </c>
    </row>
    <row r="857" spans="2:5">
      <c r="B857">
        <v>740852</v>
      </c>
      <c r="C857" t="s">
        <v>903</v>
      </c>
      <c r="D857">
        <v>3</v>
      </c>
      <c r="E857" t="str">
        <f>IF(tbl_SalAccts[[#This Row],[Value]]=1,"Salary",IF(tbl_SalAccts[[#This Row],[Value]]=2,"Fringe",IF(tbl_SalAccts[[#This Row],[Value]]=3,"Other","")))</f>
        <v>Other</v>
      </c>
    </row>
    <row r="858" spans="2:5">
      <c r="B858">
        <v>740901</v>
      </c>
      <c r="C858" t="s">
        <v>904</v>
      </c>
      <c r="D858">
        <v>3</v>
      </c>
      <c r="E858" t="str">
        <f>IF(tbl_SalAccts[[#This Row],[Value]]=1,"Salary",IF(tbl_SalAccts[[#This Row],[Value]]=2,"Fringe",IF(tbl_SalAccts[[#This Row],[Value]]=3,"Other","")))</f>
        <v>Other</v>
      </c>
    </row>
    <row r="859" spans="2:5">
      <c r="B859">
        <v>740902</v>
      </c>
      <c r="C859" t="s">
        <v>905</v>
      </c>
      <c r="D859">
        <v>3</v>
      </c>
      <c r="E859" t="str">
        <f>IF(tbl_SalAccts[[#This Row],[Value]]=1,"Salary",IF(tbl_SalAccts[[#This Row],[Value]]=2,"Fringe",IF(tbl_SalAccts[[#This Row],[Value]]=3,"Other","")))</f>
        <v>Other</v>
      </c>
    </row>
    <row r="860" spans="2:5">
      <c r="B860">
        <v>740903</v>
      </c>
      <c r="C860" t="s">
        <v>906</v>
      </c>
      <c r="D860">
        <v>3</v>
      </c>
      <c r="E860" t="str">
        <f>IF(tbl_SalAccts[[#This Row],[Value]]=1,"Salary",IF(tbl_SalAccts[[#This Row],[Value]]=2,"Fringe",IF(tbl_SalAccts[[#This Row],[Value]]=3,"Other","")))</f>
        <v>Other</v>
      </c>
    </row>
    <row r="861" spans="2:5">
      <c r="B861">
        <v>740904</v>
      </c>
      <c r="C861" t="s">
        <v>907</v>
      </c>
      <c r="D861">
        <v>3</v>
      </c>
      <c r="E861" t="str">
        <f>IF(tbl_SalAccts[[#This Row],[Value]]=1,"Salary",IF(tbl_SalAccts[[#This Row],[Value]]=2,"Fringe",IF(tbl_SalAccts[[#This Row],[Value]]=3,"Other","")))</f>
        <v>Other</v>
      </c>
    </row>
    <row r="862" spans="2:5">
      <c r="B862">
        <v>740905</v>
      </c>
      <c r="C862" t="s">
        <v>908</v>
      </c>
      <c r="D862">
        <v>3</v>
      </c>
      <c r="E862" t="str">
        <f>IF(tbl_SalAccts[[#This Row],[Value]]=1,"Salary",IF(tbl_SalAccts[[#This Row],[Value]]=2,"Fringe",IF(tbl_SalAccts[[#This Row],[Value]]=3,"Other","")))</f>
        <v>Other</v>
      </c>
    </row>
    <row r="863" spans="2:5">
      <c r="B863">
        <v>740906</v>
      </c>
      <c r="C863" t="s">
        <v>909</v>
      </c>
      <c r="D863">
        <v>3</v>
      </c>
      <c r="E863" t="str">
        <f>IF(tbl_SalAccts[[#This Row],[Value]]=1,"Salary",IF(tbl_SalAccts[[#This Row],[Value]]=2,"Fringe",IF(tbl_SalAccts[[#This Row],[Value]]=3,"Other","")))</f>
        <v>Other</v>
      </c>
    </row>
    <row r="864" spans="2:5">
      <c r="B864">
        <v>740907</v>
      </c>
      <c r="C864" t="s">
        <v>910</v>
      </c>
      <c r="D864">
        <v>3</v>
      </c>
      <c r="E864" t="str">
        <f>IF(tbl_SalAccts[[#This Row],[Value]]=1,"Salary",IF(tbl_SalAccts[[#This Row],[Value]]=2,"Fringe",IF(tbl_SalAccts[[#This Row],[Value]]=3,"Other","")))</f>
        <v>Other</v>
      </c>
    </row>
    <row r="865" spans="2:5">
      <c r="B865">
        <v>740908</v>
      </c>
      <c r="C865" t="s">
        <v>911</v>
      </c>
      <c r="D865">
        <v>3</v>
      </c>
      <c r="E865" t="str">
        <f>IF(tbl_SalAccts[[#This Row],[Value]]=1,"Salary",IF(tbl_SalAccts[[#This Row],[Value]]=2,"Fringe",IF(tbl_SalAccts[[#This Row],[Value]]=3,"Other","")))</f>
        <v>Other</v>
      </c>
    </row>
    <row r="866" spans="2:5">
      <c r="B866">
        <v>740909</v>
      </c>
      <c r="C866" t="s">
        <v>912</v>
      </c>
      <c r="D866">
        <v>3</v>
      </c>
      <c r="E866" t="str">
        <f>IF(tbl_SalAccts[[#This Row],[Value]]=1,"Salary",IF(tbl_SalAccts[[#This Row],[Value]]=2,"Fringe",IF(tbl_SalAccts[[#This Row],[Value]]=3,"Other","")))</f>
        <v>Other</v>
      </c>
    </row>
    <row r="867" spans="2:5">
      <c r="B867">
        <v>740910</v>
      </c>
      <c r="C867" t="s">
        <v>913</v>
      </c>
      <c r="D867">
        <v>3</v>
      </c>
      <c r="E867" t="str">
        <f>IF(tbl_SalAccts[[#This Row],[Value]]=1,"Salary",IF(tbl_SalAccts[[#This Row],[Value]]=2,"Fringe",IF(tbl_SalAccts[[#This Row],[Value]]=3,"Other","")))</f>
        <v>Other</v>
      </c>
    </row>
    <row r="868" spans="2:5">
      <c r="B868">
        <v>740911</v>
      </c>
      <c r="C868" t="s">
        <v>914</v>
      </c>
      <c r="D868">
        <v>3</v>
      </c>
      <c r="E868" t="str">
        <f>IF(tbl_SalAccts[[#This Row],[Value]]=1,"Salary",IF(tbl_SalAccts[[#This Row],[Value]]=2,"Fringe",IF(tbl_SalAccts[[#This Row],[Value]]=3,"Other","")))</f>
        <v>Other</v>
      </c>
    </row>
    <row r="869" spans="2:5">
      <c r="B869">
        <v>740912</v>
      </c>
      <c r="C869" t="s">
        <v>915</v>
      </c>
      <c r="D869">
        <v>3</v>
      </c>
      <c r="E869" t="str">
        <f>IF(tbl_SalAccts[[#This Row],[Value]]=1,"Salary",IF(tbl_SalAccts[[#This Row],[Value]]=2,"Fringe",IF(tbl_SalAccts[[#This Row],[Value]]=3,"Other","")))</f>
        <v>Other</v>
      </c>
    </row>
    <row r="870" spans="2:5">
      <c r="B870">
        <v>740913</v>
      </c>
      <c r="C870" t="s">
        <v>916</v>
      </c>
      <c r="D870">
        <v>3</v>
      </c>
      <c r="E870" t="str">
        <f>IF(tbl_SalAccts[[#This Row],[Value]]=1,"Salary",IF(tbl_SalAccts[[#This Row],[Value]]=2,"Fringe",IF(tbl_SalAccts[[#This Row],[Value]]=3,"Other","")))</f>
        <v>Other</v>
      </c>
    </row>
    <row r="871" spans="2:5">
      <c r="B871">
        <v>740914</v>
      </c>
      <c r="C871" t="s">
        <v>917</v>
      </c>
      <c r="D871">
        <v>3</v>
      </c>
      <c r="E871" t="str">
        <f>IF(tbl_SalAccts[[#This Row],[Value]]=1,"Salary",IF(tbl_SalAccts[[#This Row],[Value]]=2,"Fringe",IF(tbl_SalAccts[[#This Row],[Value]]=3,"Other","")))</f>
        <v>Other</v>
      </c>
    </row>
    <row r="872" spans="2:5">
      <c r="B872">
        <v>740915</v>
      </c>
      <c r="C872" t="s">
        <v>918</v>
      </c>
      <c r="D872">
        <v>3</v>
      </c>
      <c r="E872" t="str">
        <f>IF(tbl_SalAccts[[#This Row],[Value]]=1,"Salary",IF(tbl_SalAccts[[#This Row],[Value]]=2,"Fringe",IF(tbl_SalAccts[[#This Row],[Value]]=3,"Other","")))</f>
        <v>Other</v>
      </c>
    </row>
    <row r="873" spans="2:5">
      <c r="B873">
        <v>740916</v>
      </c>
      <c r="C873" t="s">
        <v>919</v>
      </c>
      <c r="D873">
        <v>3</v>
      </c>
      <c r="E873" t="str">
        <f>IF(tbl_SalAccts[[#This Row],[Value]]=1,"Salary",IF(tbl_SalAccts[[#This Row],[Value]]=2,"Fringe",IF(tbl_SalAccts[[#This Row],[Value]]=3,"Other","")))</f>
        <v>Other</v>
      </c>
    </row>
    <row r="874" spans="2:5">
      <c r="B874">
        <v>740917</v>
      </c>
      <c r="C874" t="s">
        <v>920</v>
      </c>
      <c r="D874">
        <v>3</v>
      </c>
      <c r="E874" t="str">
        <f>IF(tbl_SalAccts[[#This Row],[Value]]=1,"Salary",IF(tbl_SalAccts[[#This Row],[Value]]=2,"Fringe",IF(tbl_SalAccts[[#This Row],[Value]]=3,"Other","")))</f>
        <v>Other</v>
      </c>
    </row>
    <row r="875" spans="2:5">
      <c r="B875">
        <v>740918</v>
      </c>
      <c r="C875" t="s">
        <v>921</v>
      </c>
      <c r="D875">
        <v>3</v>
      </c>
      <c r="E875" t="str">
        <f>IF(tbl_SalAccts[[#This Row],[Value]]=1,"Salary",IF(tbl_SalAccts[[#This Row],[Value]]=2,"Fringe",IF(tbl_SalAccts[[#This Row],[Value]]=3,"Other","")))</f>
        <v>Other</v>
      </c>
    </row>
    <row r="876" spans="2:5">
      <c r="B876">
        <v>740919</v>
      </c>
      <c r="C876" t="s">
        <v>922</v>
      </c>
      <c r="D876">
        <v>3</v>
      </c>
      <c r="E876" t="str">
        <f>IF(tbl_SalAccts[[#This Row],[Value]]=1,"Salary",IF(tbl_SalAccts[[#This Row],[Value]]=2,"Fringe",IF(tbl_SalAccts[[#This Row],[Value]]=3,"Other","")))</f>
        <v>Other</v>
      </c>
    </row>
    <row r="877" spans="2:5">
      <c r="B877">
        <v>740920</v>
      </c>
      <c r="C877" t="s">
        <v>923</v>
      </c>
      <c r="D877">
        <v>3</v>
      </c>
      <c r="E877" t="str">
        <f>IF(tbl_SalAccts[[#This Row],[Value]]=1,"Salary",IF(tbl_SalAccts[[#This Row],[Value]]=2,"Fringe",IF(tbl_SalAccts[[#This Row],[Value]]=3,"Other","")))</f>
        <v>Other</v>
      </c>
    </row>
    <row r="878" spans="2:5">
      <c r="B878">
        <v>740921</v>
      </c>
      <c r="C878" t="s">
        <v>924</v>
      </c>
      <c r="D878">
        <v>3</v>
      </c>
      <c r="E878" t="str">
        <f>IF(tbl_SalAccts[[#This Row],[Value]]=1,"Salary",IF(tbl_SalAccts[[#This Row],[Value]]=2,"Fringe",IF(tbl_SalAccts[[#This Row],[Value]]=3,"Other","")))</f>
        <v>Other</v>
      </c>
    </row>
    <row r="879" spans="2:5">
      <c r="B879">
        <v>740922</v>
      </c>
      <c r="C879" t="s">
        <v>925</v>
      </c>
      <c r="D879">
        <v>3</v>
      </c>
      <c r="E879" t="str">
        <f>IF(tbl_SalAccts[[#This Row],[Value]]=1,"Salary",IF(tbl_SalAccts[[#This Row],[Value]]=2,"Fringe",IF(tbl_SalAccts[[#This Row],[Value]]=3,"Other","")))</f>
        <v>Other</v>
      </c>
    </row>
    <row r="880" spans="2:5">
      <c r="B880">
        <v>740923</v>
      </c>
      <c r="C880" t="s">
        <v>926</v>
      </c>
      <c r="D880">
        <v>3</v>
      </c>
      <c r="E880" t="str">
        <f>IF(tbl_SalAccts[[#This Row],[Value]]=1,"Salary",IF(tbl_SalAccts[[#This Row],[Value]]=2,"Fringe",IF(tbl_SalAccts[[#This Row],[Value]]=3,"Other","")))</f>
        <v>Other</v>
      </c>
    </row>
    <row r="881" spans="2:5">
      <c r="B881">
        <v>740924</v>
      </c>
      <c r="C881" t="s">
        <v>927</v>
      </c>
      <c r="D881">
        <v>3</v>
      </c>
      <c r="E881" t="str">
        <f>IF(tbl_SalAccts[[#This Row],[Value]]=1,"Salary",IF(tbl_SalAccts[[#This Row],[Value]]=2,"Fringe",IF(tbl_SalAccts[[#This Row],[Value]]=3,"Other","")))</f>
        <v>Other</v>
      </c>
    </row>
    <row r="882" spans="2:5">
      <c r="B882">
        <v>740930</v>
      </c>
      <c r="C882" t="s">
        <v>928</v>
      </c>
      <c r="D882">
        <v>3</v>
      </c>
      <c r="E882" t="str">
        <f>IF(tbl_SalAccts[[#This Row],[Value]]=1,"Salary",IF(tbl_SalAccts[[#This Row],[Value]]=2,"Fringe",IF(tbl_SalAccts[[#This Row],[Value]]=3,"Other","")))</f>
        <v>Other</v>
      </c>
    </row>
    <row r="883" spans="2:5">
      <c r="B883">
        <v>741000</v>
      </c>
      <c r="C883" t="s">
        <v>929</v>
      </c>
      <c r="D883">
        <v>3</v>
      </c>
      <c r="E883" t="str">
        <f>IF(tbl_SalAccts[[#This Row],[Value]]=1,"Salary",IF(tbl_SalAccts[[#This Row],[Value]]=2,"Fringe",IF(tbl_SalAccts[[#This Row],[Value]]=3,"Other","")))</f>
        <v>Other</v>
      </c>
    </row>
    <row r="884" spans="2:5">
      <c r="B884">
        <v>741001</v>
      </c>
      <c r="C884" t="s">
        <v>930</v>
      </c>
      <c r="D884">
        <v>3</v>
      </c>
      <c r="E884" t="str">
        <f>IF(tbl_SalAccts[[#This Row],[Value]]=1,"Salary",IF(tbl_SalAccts[[#This Row],[Value]]=2,"Fringe",IF(tbl_SalAccts[[#This Row],[Value]]=3,"Other","")))</f>
        <v>Other</v>
      </c>
    </row>
    <row r="885" spans="2:5">
      <c r="B885">
        <v>741002</v>
      </c>
      <c r="C885" t="s">
        <v>931</v>
      </c>
      <c r="D885">
        <v>3</v>
      </c>
      <c r="E885" t="str">
        <f>IF(tbl_SalAccts[[#This Row],[Value]]=1,"Salary",IF(tbl_SalAccts[[#This Row],[Value]]=2,"Fringe",IF(tbl_SalAccts[[#This Row],[Value]]=3,"Other","")))</f>
        <v>Other</v>
      </c>
    </row>
    <row r="886" spans="2:5">
      <c r="B886">
        <v>741003</v>
      </c>
      <c r="C886" t="s">
        <v>932</v>
      </c>
      <c r="D886">
        <v>3</v>
      </c>
      <c r="E886" t="str">
        <f>IF(tbl_SalAccts[[#This Row],[Value]]=1,"Salary",IF(tbl_SalAccts[[#This Row],[Value]]=2,"Fringe",IF(tbl_SalAccts[[#This Row],[Value]]=3,"Other","")))</f>
        <v>Other</v>
      </c>
    </row>
    <row r="887" spans="2:5">
      <c r="B887">
        <v>741004</v>
      </c>
      <c r="C887" t="s">
        <v>933</v>
      </c>
      <c r="D887">
        <v>3</v>
      </c>
      <c r="E887" t="str">
        <f>IF(tbl_SalAccts[[#This Row],[Value]]=1,"Salary",IF(tbl_SalAccts[[#This Row],[Value]]=2,"Fringe",IF(tbl_SalAccts[[#This Row],[Value]]=3,"Other","")))</f>
        <v>Other</v>
      </c>
    </row>
    <row r="888" spans="2:5">
      <c r="B888">
        <v>741005</v>
      </c>
      <c r="C888" t="s">
        <v>934</v>
      </c>
      <c r="D888">
        <v>3</v>
      </c>
      <c r="E888" t="str">
        <f>IF(tbl_SalAccts[[#This Row],[Value]]=1,"Salary",IF(tbl_SalAccts[[#This Row],[Value]]=2,"Fringe",IF(tbl_SalAccts[[#This Row],[Value]]=3,"Other","")))</f>
        <v>Other</v>
      </c>
    </row>
    <row r="889" spans="2:5">
      <c r="B889">
        <v>741006</v>
      </c>
      <c r="C889" t="s">
        <v>935</v>
      </c>
      <c r="D889">
        <v>3</v>
      </c>
      <c r="E889" t="str">
        <f>IF(tbl_SalAccts[[#This Row],[Value]]=1,"Salary",IF(tbl_SalAccts[[#This Row],[Value]]=2,"Fringe",IF(tbl_SalAccts[[#This Row],[Value]]=3,"Other","")))</f>
        <v>Other</v>
      </c>
    </row>
    <row r="890" spans="2:5">
      <c r="B890">
        <v>741007</v>
      </c>
      <c r="C890" t="s">
        <v>936</v>
      </c>
      <c r="D890">
        <v>3</v>
      </c>
      <c r="E890" t="str">
        <f>IF(tbl_SalAccts[[#This Row],[Value]]=1,"Salary",IF(tbl_SalAccts[[#This Row],[Value]]=2,"Fringe",IF(tbl_SalAccts[[#This Row],[Value]]=3,"Other","")))</f>
        <v>Other</v>
      </c>
    </row>
    <row r="891" spans="2:5">
      <c r="B891">
        <v>741008</v>
      </c>
      <c r="C891" t="s">
        <v>937</v>
      </c>
      <c r="D891">
        <v>3</v>
      </c>
      <c r="E891" t="str">
        <f>IF(tbl_SalAccts[[#This Row],[Value]]=1,"Salary",IF(tbl_SalAccts[[#This Row],[Value]]=2,"Fringe",IF(tbl_SalAccts[[#This Row],[Value]]=3,"Other","")))</f>
        <v>Other</v>
      </c>
    </row>
    <row r="892" spans="2:5">
      <c r="B892">
        <v>741009</v>
      </c>
      <c r="C892" t="s">
        <v>938</v>
      </c>
      <c r="D892">
        <v>3</v>
      </c>
      <c r="E892" t="str">
        <f>IF(tbl_SalAccts[[#This Row],[Value]]=1,"Salary",IF(tbl_SalAccts[[#This Row],[Value]]=2,"Fringe",IF(tbl_SalAccts[[#This Row],[Value]]=3,"Other","")))</f>
        <v>Other</v>
      </c>
    </row>
    <row r="893" spans="2:5">
      <c r="B893">
        <v>741010</v>
      </c>
      <c r="C893" t="s">
        <v>939</v>
      </c>
      <c r="D893">
        <v>3</v>
      </c>
      <c r="E893" t="str">
        <f>IF(tbl_SalAccts[[#This Row],[Value]]=1,"Salary",IF(tbl_SalAccts[[#This Row],[Value]]=2,"Fringe",IF(tbl_SalAccts[[#This Row],[Value]]=3,"Other","")))</f>
        <v>Other</v>
      </c>
    </row>
    <row r="894" spans="2:5">
      <c r="B894">
        <v>741011</v>
      </c>
      <c r="C894" t="s">
        <v>940</v>
      </c>
      <c r="D894">
        <v>3</v>
      </c>
      <c r="E894" t="str">
        <f>IF(tbl_SalAccts[[#This Row],[Value]]=1,"Salary",IF(tbl_SalAccts[[#This Row],[Value]]=2,"Fringe",IF(tbl_SalAccts[[#This Row],[Value]]=3,"Other","")))</f>
        <v>Other</v>
      </c>
    </row>
    <row r="895" spans="2:5">
      <c r="B895">
        <v>741012</v>
      </c>
      <c r="C895" t="s">
        <v>941</v>
      </c>
      <c r="D895">
        <v>3</v>
      </c>
      <c r="E895" t="str">
        <f>IF(tbl_SalAccts[[#This Row],[Value]]=1,"Salary",IF(tbl_SalAccts[[#This Row],[Value]]=2,"Fringe",IF(tbl_SalAccts[[#This Row],[Value]]=3,"Other","")))</f>
        <v>Other</v>
      </c>
    </row>
    <row r="896" spans="2:5">
      <c r="B896">
        <v>741013</v>
      </c>
      <c r="C896" t="s">
        <v>942</v>
      </c>
      <c r="D896">
        <v>3</v>
      </c>
      <c r="E896" t="str">
        <f>IF(tbl_SalAccts[[#This Row],[Value]]=1,"Salary",IF(tbl_SalAccts[[#This Row],[Value]]=2,"Fringe",IF(tbl_SalAccts[[#This Row],[Value]]=3,"Other","")))</f>
        <v>Other</v>
      </c>
    </row>
    <row r="897" spans="2:5">
      <c r="B897">
        <v>741014</v>
      </c>
      <c r="C897" t="s">
        <v>943</v>
      </c>
      <c r="D897">
        <v>3</v>
      </c>
      <c r="E897" t="str">
        <f>IF(tbl_SalAccts[[#This Row],[Value]]=1,"Salary",IF(tbl_SalAccts[[#This Row],[Value]]=2,"Fringe",IF(tbl_SalAccts[[#This Row],[Value]]=3,"Other","")))</f>
        <v>Other</v>
      </c>
    </row>
    <row r="898" spans="2:5">
      <c r="B898">
        <v>741015</v>
      </c>
      <c r="C898" t="s">
        <v>944</v>
      </c>
      <c r="D898">
        <v>3</v>
      </c>
      <c r="E898" t="str">
        <f>IF(tbl_SalAccts[[#This Row],[Value]]=1,"Salary",IF(tbl_SalAccts[[#This Row],[Value]]=2,"Fringe",IF(tbl_SalAccts[[#This Row],[Value]]=3,"Other","")))</f>
        <v>Other</v>
      </c>
    </row>
    <row r="899" spans="2:5">
      <c r="B899">
        <v>741016</v>
      </c>
      <c r="C899" t="s">
        <v>945</v>
      </c>
      <c r="D899">
        <v>3</v>
      </c>
      <c r="E899" t="str">
        <f>IF(tbl_SalAccts[[#This Row],[Value]]=1,"Salary",IF(tbl_SalAccts[[#This Row],[Value]]=2,"Fringe",IF(tbl_SalAccts[[#This Row],[Value]]=3,"Other","")))</f>
        <v>Other</v>
      </c>
    </row>
    <row r="900" spans="2:5">
      <c r="B900">
        <v>741017</v>
      </c>
      <c r="C900" t="s">
        <v>946</v>
      </c>
      <c r="D900">
        <v>3</v>
      </c>
      <c r="E900" t="str">
        <f>IF(tbl_SalAccts[[#This Row],[Value]]=1,"Salary",IF(tbl_SalAccts[[#This Row],[Value]]=2,"Fringe",IF(tbl_SalAccts[[#This Row],[Value]]=3,"Other","")))</f>
        <v>Other</v>
      </c>
    </row>
    <row r="901" spans="2:5">
      <c r="B901">
        <v>741018</v>
      </c>
      <c r="C901" t="s">
        <v>947</v>
      </c>
      <c r="D901">
        <v>3</v>
      </c>
      <c r="E901" t="str">
        <f>IF(tbl_SalAccts[[#This Row],[Value]]=1,"Salary",IF(tbl_SalAccts[[#This Row],[Value]]=2,"Fringe",IF(tbl_SalAccts[[#This Row],[Value]]=3,"Other","")))</f>
        <v>Other</v>
      </c>
    </row>
    <row r="902" spans="2:5">
      <c r="B902">
        <v>741019</v>
      </c>
      <c r="C902" t="s">
        <v>948</v>
      </c>
      <c r="D902">
        <v>3</v>
      </c>
      <c r="E902" t="str">
        <f>IF(tbl_SalAccts[[#This Row],[Value]]=1,"Salary",IF(tbl_SalAccts[[#This Row],[Value]]=2,"Fringe",IF(tbl_SalAccts[[#This Row],[Value]]=3,"Other","")))</f>
        <v>Other</v>
      </c>
    </row>
    <row r="903" spans="2:5">
      <c r="B903">
        <v>741020</v>
      </c>
      <c r="C903" t="s">
        <v>949</v>
      </c>
      <c r="D903">
        <v>3</v>
      </c>
      <c r="E903" t="str">
        <f>IF(tbl_SalAccts[[#This Row],[Value]]=1,"Salary",IF(tbl_SalAccts[[#This Row],[Value]]=2,"Fringe",IF(tbl_SalAccts[[#This Row],[Value]]=3,"Other","")))</f>
        <v>Other</v>
      </c>
    </row>
    <row r="904" spans="2:5">
      <c r="B904">
        <v>741021</v>
      </c>
      <c r="C904" t="s">
        <v>950</v>
      </c>
      <c r="D904">
        <v>3</v>
      </c>
      <c r="E904" t="str">
        <f>IF(tbl_SalAccts[[#This Row],[Value]]=1,"Salary",IF(tbl_SalAccts[[#This Row],[Value]]=2,"Fringe",IF(tbl_SalAccts[[#This Row],[Value]]=3,"Other","")))</f>
        <v>Other</v>
      </c>
    </row>
    <row r="905" spans="2:5">
      <c r="B905">
        <v>741022</v>
      </c>
      <c r="C905" t="s">
        <v>951</v>
      </c>
      <c r="D905">
        <v>3</v>
      </c>
      <c r="E905" t="str">
        <f>IF(tbl_SalAccts[[#This Row],[Value]]=1,"Salary",IF(tbl_SalAccts[[#This Row],[Value]]=2,"Fringe",IF(tbl_SalAccts[[#This Row],[Value]]=3,"Other","")))</f>
        <v>Other</v>
      </c>
    </row>
    <row r="906" spans="2:5">
      <c r="B906">
        <v>741101</v>
      </c>
      <c r="C906" t="s">
        <v>952</v>
      </c>
      <c r="D906">
        <v>3</v>
      </c>
      <c r="E906" t="str">
        <f>IF(tbl_SalAccts[[#This Row],[Value]]=1,"Salary",IF(tbl_SalAccts[[#This Row],[Value]]=2,"Fringe",IF(tbl_SalAccts[[#This Row],[Value]]=3,"Other","")))</f>
        <v>Other</v>
      </c>
    </row>
    <row r="907" spans="2:5">
      <c r="B907">
        <v>741102</v>
      </c>
      <c r="C907" t="s">
        <v>953</v>
      </c>
      <c r="D907">
        <v>3</v>
      </c>
      <c r="E907" t="str">
        <f>IF(tbl_SalAccts[[#This Row],[Value]]=1,"Salary",IF(tbl_SalAccts[[#This Row],[Value]]=2,"Fringe",IF(tbl_SalAccts[[#This Row],[Value]]=3,"Other","")))</f>
        <v>Other</v>
      </c>
    </row>
    <row r="908" spans="2:5">
      <c r="B908">
        <v>741121</v>
      </c>
      <c r="C908" t="s">
        <v>954</v>
      </c>
      <c r="D908">
        <v>3</v>
      </c>
      <c r="E908" t="str">
        <f>IF(tbl_SalAccts[[#This Row],[Value]]=1,"Salary",IF(tbl_SalAccts[[#This Row],[Value]]=2,"Fringe",IF(tbl_SalAccts[[#This Row],[Value]]=3,"Other","")))</f>
        <v>Other</v>
      </c>
    </row>
    <row r="909" spans="2:5">
      <c r="B909">
        <v>741141</v>
      </c>
      <c r="C909" t="s">
        <v>955</v>
      </c>
      <c r="D909">
        <v>3</v>
      </c>
      <c r="E909" t="str">
        <f>IF(tbl_SalAccts[[#This Row],[Value]]=1,"Salary",IF(tbl_SalAccts[[#This Row],[Value]]=2,"Fringe",IF(tbl_SalAccts[[#This Row],[Value]]=3,"Other","")))</f>
        <v>Other</v>
      </c>
    </row>
    <row r="910" spans="2:5">
      <c r="B910">
        <v>741145</v>
      </c>
      <c r="C910" t="s">
        <v>956</v>
      </c>
      <c r="D910">
        <v>3</v>
      </c>
      <c r="E910" t="str">
        <f>IF(tbl_SalAccts[[#This Row],[Value]]=1,"Salary",IF(tbl_SalAccts[[#This Row],[Value]]=2,"Fringe",IF(tbl_SalAccts[[#This Row],[Value]]=3,"Other","")))</f>
        <v>Other</v>
      </c>
    </row>
    <row r="911" spans="2:5">
      <c r="B911">
        <v>741151</v>
      </c>
      <c r="C911" t="s">
        <v>957</v>
      </c>
      <c r="D911">
        <v>3</v>
      </c>
      <c r="E911" t="str">
        <f>IF(tbl_SalAccts[[#This Row],[Value]]=1,"Salary",IF(tbl_SalAccts[[#This Row],[Value]]=2,"Fringe",IF(tbl_SalAccts[[#This Row],[Value]]=3,"Other","")))</f>
        <v>Other</v>
      </c>
    </row>
    <row r="912" spans="2:5">
      <c r="B912">
        <v>741152</v>
      </c>
      <c r="C912" t="s">
        <v>958</v>
      </c>
      <c r="D912">
        <v>3</v>
      </c>
      <c r="E912" t="str">
        <f>IF(tbl_SalAccts[[#This Row],[Value]]=1,"Salary",IF(tbl_SalAccts[[#This Row],[Value]]=2,"Fringe",IF(tbl_SalAccts[[#This Row],[Value]]=3,"Other","")))</f>
        <v>Other</v>
      </c>
    </row>
    <row r="913" spans="2:5">
      <c r="B913">
        <v>741153</v>
      </c>
      <c r="C913" t="s">
        <v>959</v>
      </c>
      <c r="D913">
        <v>3</v>
      </c>
      <c r="E913" t="str">
        <f>IF(tbl_SalAccts[[#This Row],[Value]]=1,"Salary",IF(tbl_SalAccts[[#This Row],[Value]]=2,"Fringe",IF(tbl_SalAccts[[#This Row],[Value]]=3,"Other","")))</f>
        <v>Other</v>
      </c>
    </row>
    <row r="914" spans="2:5">
      <c r="B914">
        <v>741161</v>
      </c>
      <c r="C914" t="s">
        <v>960</v>
      </c>
      <c r="D914">
        <v>3</v>
      </c>
      <c r="E914" t="str">
        <f>IF(tbl_SalAccts[[#This Row],[Value]]=1,"Salary",IF(tbl_SalAccts[[#This Row],[Value]]=2,"Fringe",IF(tbl_SalAccts[[#This Row],[Value]]=3,"Other","")))</f>
        <v>Other</v>
      </c>
    </row>
    <row r="915" spans="2:5">
      <c r="B915">
        <v>741165</v>
      </c>
      <c r="C915" t="s">
        <v>961</v>
      </c>
      <c r="D915">
        <v>3</v>
      </c>
      <c r="E915" t="str">
        <f>IF(tbl_SalAccts[[#This Row],[Value]]=1,"Salary",IF(tbl_SalAccts[[#This Row],[Value]]=2,"Fringe",IF(tbl_SalAccts[[#This Row],[Value]]=3,"Other","")))</f>
        <v>Other</v>
      </c>
    </row>
    <row r="916" spans="2:5">
      <c r="B916">
        <v>741172</v>
      </c>
      <c r="C916" t="s">
        <v>962</v>
      </c>
      <c r="D916">
        <v>3</v>
      </c>
      <c r="E916" t="str">
        <f>IF(tbl_SalAccts[[#This Row],[Value]]=1,"Salary",IF(tbl_SalAccts[[#This Row],[Value]]=2,"Fringe",IF(tbl_SalAccts[[#This Row],[Value]]=3,"Other","")))</f>
        <v>Other</v>
      </c>
    </row>
    <row r="917" spans="2:5">
      <c r="B917">
        <v>741173</v>
      </c>
      <c r="C917" t="s">
        <v>963</v>
      </c>
      <c r="D917">
        <v>3</v>
      </c>
      <c r="E917" t="str">
        <f>IF(tbl_SalAccts[[#This Row],[Value]]=1,"Salary",IF(tbl_SalAccts[[#This Row],[Value]]=2,"Fringe",IF(tbl_SalAccts[[#This Row],[Value]]=3,"Other","")))</f>
        <v>Other</v>
      </c>
    </row>
    <row r="918" spans="2:5">
      <c r="B918">
        <v>741178</v>
      </c>
      <c r="C918" t="s">
        <v>964</v>
      </c>
      <c r="D918">
        <v>3</v>
      </c>
      <c r="E918" t="str">
        <f>IF(tbl_SalAccts[[#This Row],[Value]]=1,"Salary",IF(tbl_SalAccts[[#This Row],[Value]]=2,"Fringe",IF(tbl_SalAccts[[#This Row],[Value]]=3,"Other","")))</f>
        <v>Other</v>
      </c>
    </row>
    <row r="919" spans="2:5">
      <c r="B919">
        <v>741179</v>
      </c>
      <c r="C919" t="s">
        <v>965</v>
      </c>
      <c r="D919">
        <v>3</v>
      </c>
      <c r="E919" t="str">
        <f>IF(tbl_SalAccts[[#This Row],[Value]]=1,"Salary",IF(tbl_SalAccts[[#This Row],[Value]]=2,"Fringe",IF(tbl_SalAccts[[#This Row],[Value]]=3,"Other","")))</f>
        <v>Other</v>
      </c>
    </row>
    <row r="920" spans="2:5">
      <c r="B920">
        <v>741181</v>
      </c>
      <c r="C920" t="s">
        <v>966</v>
      </c>
      <c r="D920">
        <v>3</v>
      </c>
      <c r="E920" t="str">
        <f>IF(tbl_SalAccts[[#This Row],[Value]]=1,"Salary",IF(tbl_SalAccts[[#This Row],[Value]]=2,"Fringe",IF(tbl_SalAccts[[#This Row],[Value]]=3,"Other","")))</f>
        <v>Other</v>
      </c>
    </row>
    <row r="921" spans="2:5">
      <c r="B921">
        <v>741182</v>
      </c>
      <c r="C921" t="s">
        <v>967</v>
      </c>
      <c r="D921">
        <v>3</v>
      </c>
      <c r="E921" t="str">
        <f>IF(tbl_SalAccts[[#This Row],[Value]]=1,"Salary",IF(tbl_SalAccts[[#This Row],[Value]]=2,"Fringe",IF(tbl_SalAccts[[#This Row],[Value]]=3,"Other","")))</f>
        <v>Other</v>
      </c>
    </row>
    <row r="922" spans="2:5">
      <c r="B922">
        <v>741183</v>
      </c>
      <c r="C922" t="s">
        <v>968</v>
      </c>
      <c r="D922">
        <v>3</v>
      </c>
      <c r="E922" t="str">
        <f>IF(tbl_SalAccts[[#This Row],[Value]]=1,"Salary",IF(tbl_SalAccts[[#This Row],[Value]]=2,"Fringe",IF(tbl_SalAccts[[#This Row],[Value]]=3,"Other","")))</f>
        <v>Other</v>
      </c>
    </row>
    <row r="923" spans="2:5">
      <c r="B923">
        <v>741191</v>
      </c>
      <c r="C923" t="s">
        <v>969</v>
      </c>
      <c r="D923">
        <v>3</v>
      </c>
      <c r="E923" t="str">
        <f>IF(tbl_SalAccts[[#This Row],[Value]]=1,"Salary",IF(tbl_SalAccts[[#This Row],[Value]]=2,"Fringe",IF(tbl_SalAccts[[#This Row],[Value]]=3,"Other","")))</f>
        <v>Other</v>
      </c>
    </row>
    <row r="924" spans="2:5">
      <c r="B924">
        <v>741251</v>
      </c>
      <c r="C924" t="s">
        <v>970</v>
      </c>
      <c r="D924">
        <v>3</v>
      </c>
      <c r="E924" t="str">
        <f>IF(tbl_SalAccts[[#This Row],[Value]]=1,"Salary",IF(tbl_SalAccts[[#This Row],[Value]]=2,"Fringe",IF(tbl_SalAccts[[#This Row],[Value]]=3,"Other","")))</f>
        <v>Other</v>
      </c>
    </row>
    <row r="925" spans="2:5">
      <c r="B925">
        <v>741252</v>
      </c>
      <c r="C925" t="s">
        <v>971</v>
      </c>
      <c r="D925">
        <v>3</v>
      </c>
      <c r="E925" t="str">
        <f>IF(tbl_SalAccts[[#This Row],[Value]]=1,"Salary",IF(tbl_SalAccts[[#This Row],[Value]]=2,"Fringe",IF(tbl_SalAccts[[#This Row],[Value]]=3,"Other","")))</f>
        <v>Other</v>
      </c>
    </row>
    <row r="926" spans="2:5">
      <c r="B926">
        <v>741255</v>
      </c>
      <c r="C926" t="s">
        <v>972</v>
      </c>
      <c r="D926">
        <v>3</v>
      </c>
      <c r="E926" t="str">
        <f>IF(tbl_SalAccts[[#This Row],[Value]]=1,"Salary",IF(tbl_SalAccts[[#This Row],[Value]]=2,"Fringe",IF(tbl_SalAccts[[#This Row],[Value]]=3,"Other","")))</f>
        <v>Other</v>
      </c>
    </row>
    <row r="927" spans="2:5">
      <c r="B927">
        <v>741271</v>
      </c>
      <c r="C927" t="s">
        <v>973</v>
      </c>
      <c r="D927">
        <v>3</v>
      </c>
      <c r="E927" t="str">
        <f>IF(tbl_SalAccts[[#This Row],[Value]]=1,"Salary",IF(tbl_SalAccts[[#This Row],[Value]]=2,"Fringe",IF(tbl_SalAccts[[#This Row],[Value]]=3,"Other","")))</f>
        <v>Other</v>
      </c>
    </row>
    <row r="928" spans="2:5">
      <c r="B928">
        <v>741272</v>
      </c>
      <c r="C928" t="s">
        <v>974</v>
      </c>
      <c r="D928">
        <v>3</v>
      </c>
      <c r="E928" t="str">
        <f>IF(tbl_SalAccts[[#This Row],[Value]]=1,"Salary",IF(tbl_SalAccts[[#This Row],[Value]]=2,"Fringe",IF(tbl_SalAccts[[#This Row],[Value]]=3,"Other","")))</f>
        <v>Other</v>
      </c>
    </row>
    <row r="929" spans="2:5">
      <c r="B929">
        <v>741281</v>
      </c>
      <c r="C929" t="s">
        <v>975</v>
      </c>
      <c r="D929">
        <v>3</v>
      </c>
      <c r="E929" t="str">
        <f>IF(tbl_SalAccts[[#This Row],[Value]]=1,"Salary",IF(tbl_SalAccts[[#This Row],[Value]]=2,"Fringe",IF(tbl_SalAccts[[#This Row],[Value]]=3,"Other","")))</f>
        <v>Other</v>
      </c>
    </row>
    <row r="930" spans="2:5">
      <c r="B930">
        <v>741282</v>
      </c>
      <c r="C930" t="s">
        <v>976</v>
      </c>
      <c r="D930">
        <v>3</v>
      </c>
      <c r="E930" t="str">
        <f>IF(tbl_SalAccts[[#This Row],[Value]]=1,"Salary",IF(tbl_SalAccts[[#This Row],[Value]]=2,"Fringe",IF(tbl_SalAccts[[#This Row],[Value]]=3,"Other","")))</f>
        <v>Other</v>
      </c>
    </row>
    <row r="931" spans="2:5">
      <c r="B931">
        <v>741301</v>
      </c>
      <c r="C931" t="s">
        <v>977</v>
      </c>
      <c r="D931">
        <v>3</v>
      </c>
      <c r="E931" t="str">
        <f>IF(tbl_SalAccts[[#This Row],[Value]]=1,"Salary",IF(tbl_SalAccts[[#This Row],[Value]]=2,"Fringe",IF(tbl_SalAccts[[#This Row],[Value]]=3,"Other","")))</f>
        <v>Other</v>
      </c>
    </row>
    <row r="932" spans="2:5">
      <c r="B932">
        <v>741302</v>
      </c>
      <c r="C932" t="s">
        <v>978</v>
      </c>
      <c r="D932">
        <v>3</v>
      </c>
      <c r="E932" t="str">
        <f>IF(tbl_SalAccts[[#This Row],[Value]]=1,"Salary",IF(tbl_SalAccts[[#This Row],[Value]]=2,"Fringe",IF(tbl_SalAccts[[#This Row],[Value]]=3,"Other","")))</f>
        <v>Other</v>
      </c>
    </row>
    <row r="933" spans="2:5">
      <c r="B933">
        <v>741321</v>
      </c>
      <c r="C933" t="s">
        <v>979</v>
      </c>
      <c r="D933">
        <v>3</v>
      </c>
      <c r="E933" t="str">
        <f>IF(tbl_SalAccts[[#This Row],[Value]]=1,"Salary",IF(tbl_SalAccts[[#This Row],[Value]]=2,"Fringe",IF(tbl_SalAccts[[#This Row],[Value]]=3,"Other","")))</f>
        <v>Other</v>
      </c>
    </row>
    <row r="934" spans="2:5">
      <c r="B934">
        <v>741331</v>
      </c>
      <c r="C934" t="s">
        <v>980</v>
      </c>
      <c r="D934">
        <v>3</v>
      </c>
      <c r="E934" t="str">
        <f>IF(tbl_SalAccts[[#This Row],[Value]]=1,"Salary",IF(tbl_SalAccts[[#This Row],[Value]]=2,"Fringe",IF(tbl_SalAccts[[#This Row],[Value]]=3,"Other","")))</f>
        <v>Other</v>
      </c>
    </row>
    <row r="935" spans="2:5">
      <c r="B935">
        <v>741332</v>
      </c>
      <c r="C935" t="s">
        <v>981</v>
      </c>
      <c r="D935">
        <v>3</v>
      </c>
      <c r="E935" t="str">
        <f>IF(tbl_SalAccts[[#This Row],[Value]]=1,"Salary",IF(tbl_SalAccts[[#This Row],[Value]]=2,"Fringe",IF(tbl_SalAccts[[#This Row],[Value]]=3,"Other","")))</f>
        <v>Other</v>
      </c>
    </row>
    <row r="936" spans="2:5">
      <c r="B936">
        <v>741333</v>
      </c>
      <c r="C936" t="s">
        <v>982</v>
      </c>
      <c r="D936">
        <v>3</v>
      </c>
      <c r="E936" t="str">
        <f>IF(tbl_SalAccts[[#This Row],[Value]]=1,"Salary",IF(tbl_SalAccts[[#This Row],[Value]]=2,"Fringe",IF(tbl_SalAccts[[#This Row],[Value]]=3,"Other","")))</f>
        <v>Other</v>
      </c>
    </row>
    <row r="937" spans="2:5">
      <c r="B937">
        <v>741334</v>
      </c>
      <c r="C937" t="s">
        <v>983</v>
      </c>
      <c r="D937">
        <v>3</v>
      </c>
      <c r="E937" t="str">
        <f>IF(tbl_SalAccts[[#This Row],[Value]]=1,"Salary",IF(tbl_SalAccts[[#This Row],[Value]]=2,"Fringe",IF(tbl_SalAccts[[#This Row],[Value]]=3,"Other","")))</f>
        <v>Other</v>
      </c>
    </row>
    <row r="938" spans="2:5">
      <c r="B938">
        <v>741335</v>
      </c>
      <c r="C938" t="s">
        <v>984</v>
      </c>
      <c r="D938">
        <v>1</v>
      </c>
      <c r="E938" t="str">
        <f>IF(tbl_SalAccts[[#This Row],[Value]]=1,"Salary",IF(tbl_SalAccts[[#This Row],[Value]]=2,"Fringe",IF(tbl_SalAccts[[#This Row],[Value]]=3,"Other","")))</f>
        <v>Salary</v>
      </c>
    </row>
    <row r="939" spans="2:5">
      <c r="B939">
        <v>741361</v>
      </c>
      <c r="C939" t="s">
        <v>985</v>
      </c>
      <c r="D939">
        <v>3</v>
      </c>
      <c r="E939" t="str">
        <f>IF(tbl_SalAccts[[#This Row],[Value]]=1,"Salary",IF(tbl_SalAccts[[#This Row],[Value]]=2,"Fringe",IF(tbl_SalAccts[[#This Row],[Value]]=3,"Other","")))</f>
        <v>Other</v>
      </c>
    </row>
    <row r="940" spans="2:5">
      <c r="B940">
        <v>741365</v>
      </c>
      <c r="C940" t="s">
        <v>986</v>
      </c>
      <c r="D940">
        <v>3</v>
      </c>
      <c r="E940" t="str">
        <f>IF(tbl_SalAccts[[#This Row],[Value]]=1,"Salary",IF(tbl_SalAccts[[#This Row],[Value]]=2,"Fringe",IF(tbl_SalAccts[[#This Row],[Value]]=3,"Other","")))</f>
        <v>Other</v>
      </c>
    </row>
    <row r="941" spans="2:5">
      <c r="B941">
        <v>741366</v>
      </c>
      <c r="C941" t="s">
        <v>987</v>
      </c>
      <c r="D941">
        <v>3</v>
      </c>
      <c r="E941" t="str">
        <f>IF(tbl_SalAccts[[#This Row],[Value]]=1,"Salary",IF(tbl_SalAccts[[#This Row],[Value]]=2,"Fringe",IF(tbl_SalAccts[[#This Row],[Value]]=3,"Other","")))</f>
        <v>Other</v>
      </c>
    </row>
    <row r="942" spans="2:5">
      <c r="B942">
        <v>741367</v>
      </c>
      <c r="C942" t="s">
        <v>988</v>
      </c>
      <c r="D942">
        <v>3</v>
      </c>
      <c r="E942" t="str">
        <f>IF(tbl_SalAccts[[#This Row],[Value]]=1,"Salary",IF(tbl_SalAccts[[#This Row],[Value]]=2,"Fringe",IF(tbl_SalAccts[[#This Row],[Value]]=3,"Other","")))</f>
        <v>Other</v>
      </c>
    </row>
    <row r="943" spans="2:5">
      <c r="B943">
        <v>741368</v>
      </c>
      <c r="C943" t="s">
        <v>989</v>
      </c>
      <c r="D943">
        <v>3</v>
      </c>
      <c r="E943" t="str">
        <f>IF(tbl_SalAccts[[#This Row],[Value]]=1,"Salary",IF(tbl_SalAccts[[#This Row],[Value]]=2,"Fringe",IF(tbl_SalAccts[[#This Row],[Value]]=3,"Other","")))</f>
        <v>Other</v>
      </c>
    </row>
    <row r="944" spans="2:5">
      <c r="B944">
        <v>741371</v>
      </c>
      <c r="C944" t="s">
        <v>990</v>
      </c>
      <c r="D944">
        <v>3</v>
      </c>
      <c r="E944" t="str">
        <f>IF(tbl_SalAccts[[#This Row],[Value]]=1,"Salary",IF(tbl_SalAccts[[#This Row],[Value]]=2,"Fringe",IF(tbl_SalAccts[[#This Row],[Value]]=3,"Other","")))</f>
        <v>Other</v>
      </c>
    </row>
    <row r="945" spans="2:5">
      <c r="B945">
        <v>741372</v>
      </c>
      <c r="C945" t="s">
        <v>991</v>
      </c>
      <c r="D945">
        <v>3</v>
      </c>
      <c r="E945" t="str">
        <f>IF(tbl_SalAccts[[#This Row],[Value]]=1,"Salary",IF(tbl_SalAccts[[#This Row],[Value]]=2,"Fringe",IF(tbl_SalAccts[[#This Row],[Value]]=3,"Other","")))</f>
        <v>Other</v>
      </c>
    </row>
    <row r="946" spans="2:5">
      <c r="B946">
        <v>741375</v>
      </c>
      <c r="C946" t="s">
        <v>992</v>
      </c>
      <c r="D946">
        <v>3</v>
      </c>
      <c r="E946" t="str">
        <f>IF(tbl_SalAccts[[#This Row],[Value]]=1,"Salary",IF(tbl_SalAccts[[#This Row],[Value]]=2,"Fringe",IF(tbl_SalAccts[[#This Row],[Value]]=3,"Other","")))</f>
        <v>Other</v>
      </c>
    </row>
    <row r="947" spans="2:5">
      <c r="B947">
        <v>741376</v>
      </c>
      <c r="C947" t="s">
        <v>993</v>
      </c>
      <c r="D947">
        <v>3</v>
      </c>
      <c r="E947" t="str">
        <f>IF(tbl_SalAccts[[#This Row],[Value]]=1,"Salary",IF(tbl_SalAccts[[#This Row],[Value]]=2,"Fringe",IF(tbl_SalAccts[[#This Row],[Value]]=3,"Other","")))</f>
        <v>Other</v>
      </c>
    </row>
    <row r="948" spans="2:5">
      <c r="B948">
        <v>741381</v>
      </c>
      <c r="C948" t="s">
        <v>994</v>
      </c>
      <c r="D948">
        <v>3</v>
      </c>
      <c r="E948" t="str">
        <f>IF(tbl_SalAccts[[#This Row],[Value]]=1,"Salary",IF(tbl_SalAccts[[#This Row],[Value]]=2,"Fringe",IF(tbl_SalAccts[[#This Row],[Value]]=3,"Other","")))</f>
        <v>Other</v>
      </c>
    </row>
    <row r="949" spans="2:5">
      <c r="B949">
        <v>741382</v>
      </c>
      <c r="C949" t="s">
        <v>995</v>
      </c>
      <c r="D949">
        <v>3</v>
      </c>
      <c r="E949" t="str">
        <f>IF(tbl_SalAccts[[#This Row],[Value]]=1,"Salary",IF(tbl_SalAccts[[#This Row],[Value]]=2,"Fringe",IF(tbl_SalAccts[[#This Row],[Value]]=3,"Other","")))</f>
        <v>Other</v>
      </c>
    </row>
    <row r="950" spans="2:5">
      <c r="B950">
        <v>741383</v>
      </c>
      <c r="C950" t="s">
        <v>996</v>
      </c>
      <c r="D950">
        <v>3</v>
      </c>
      <c r="E950" t="str">
        <f>IF(tbl_SalAccts[[#This Row],[Value]]=1,"Salary",IF(tbl_SalAccts[[#This Row],[Value]]=2,"Fringe",IF(tbl_SalAccts[[#This Row],[Value]]=3,"Other","")))</f>
        <v>Other</v>
      </c>
    </row>
    <row r="951" spans="2:5">
      <c r="B951">
        <v>741385</v>
      </c>
      <c r="C951" t="s">
        <v>997</v>
      </c>
      <c r="D951">
        <v>3</v>
      </c>
      <c r="E951" t="str">
        <f>IF(tbl_SalAccts[[#This Row],[Value]]=1,"Salary",IF(tbl_SalAccts[[#This Row],[Value]]=2,"Fringe",IF(tbl_SalAccts[[#This Row],[Value]]=3,"Other","")))</f>
        <v>Other</v>
      </c>
    </row>
    <row r="952" spans="2:5">
      <c r="B952">
        <v>741391</v>
      </c>
      <c r="C952" t="s">
        <v>998</v>
      </c>
      <c r="D952">
        <v>3</v>
      </c>
      <c r="E952" t="str">
        <f>IF(tbl_SalAccts[[#This Row],[Value]]=1,"Salary",IF(tbl_SalAccts[[#This Row],[Value]]=2,"Fringe",IF(tbl_SalAccts[[#This Row],[Value]]=3,"Other","")))</f>
        <v>Other</v>
      </c>
    </row>
    <row r="953" spans="2:5">
      <c r="B953">
        <v>741392</v>
      </c>
      <c r="C953" t="s">
        <v>999</v>
      </c>
      <c r="D953">
        <v>3</v>
      </c>
      <c r="E953" t="str">
        <f>IF(tbl_SalAccts[[#This Row],[Value]]=1,"Salary",IF(tbl_SalAccts[[#This Row],[Value]]=2,"Fringe",IF(tbl_SalAccts[[#This Row],[Value]]=3,"Other","")))</f>
        <v>Other</v>
      </c>
    </row>
    <row r="954" spans="2:5">
      <c r="B954">
        <v>741393</v>
      </c>
      <c r="C954" t="s">
        <v>1000</v>
      </c>
      <c r="D954">
        <v>3</v>
      </c>
      <c r="E954" t="str">
        <f>IF(tbl_SalAccts[[#This Row],[Value]]=1,"Salary",IF(tbl_SalAccts[[#This Row],[Value]]=2,"Fringe",IF(tbl_SalAccts[[#This Row],[Value]]=3,"Other","")))</f>
        <v>Other</v>
      </c>
    </row>
    <row r="955" spans="2:5">
      <c r="B955">
        <v>741395</v>
      </c>
      <c r="C955" t="s">
        <v>1001</v>
      </c>
      <c r="D955">
        <v>3</v>
      </c>
      <c r="E955" t="str">
        <f>IF(tbl_SalAccts[[#This Row],[Value]]=1,"Salary",IF(tbl_SalAccts[[#This Row],[Value]]=2,"Fringe",IF(tbl_SalAccts[[#This Row],[Value]]=3,"Other","")))</f>
        <v>Other</v>
      </c>
    </row>
    <row r="956" spans="2:5">
      <c r="B956">
        <v>741396</v>
      </c>
      <c r="C956" t="s">
        <v>1002</v>
      </c>
      <c r="D956">
        <v>3</v>
      </c>
      <c r="E956" t="str">
        <f>IF(tbl_SalAccts[[#This Row],[Value]]=1,"Salary",IF(tbl_SalAccts[[#This Row],[Value]]=2,"Fringe",IF(tbl_SalAccts[[#This Row],[Value]]=3,"Other","")))</f>
        <v>Other</v>
      </c>
    </row>
    <row r="957" spans="2:5">
      <c r="B957">
        <v>741401</v>
      </c>
      <c r="C957" t="s">
        <v>1003</v>
      </c>
      <c r="D957">
        <v>3</v>
      </c>
      <c r="E957" t="str">
        <f>IF(tbl_SalAccts[[#This Row],[Value]]=1,"Salary",IF(tbl_SalAccts[[#This Row],[Value]]=2,"Fringe",IF(tbl_SalAccts[[#This Row],[Value]]=3,"Other","")))</f>
        <v>Other</v>
      </c>
    </row>
    <row r="958" spans="2:5">
      <c r="B958">
        <v>741420</v>
      </c>
      <c r="C958" t="s">
        <v>1004</v>
      </c>
      <c r="D958">
        <v>3</v>
      </c>
      <c r="E958" t="str">
        <f>IF(tbl_SalAccts[[#This Row],[Value]]=1,"Salary",IF(tbl_SalAccts[[#This Row],[Value]]=2,"Fringe",IF(tbl_SalAccts[[#This Row],[Value]]=3,"Other","")))</f>
        <v>Other</v>
      </c>
    </row>
    <row r="959" spans="2:5">
      <c r="B959">
        <v>741421</v>
      </c>
      <c r="C959" t="s">
        <v>1005</v>
      </c>
      <c r="D959">
        <v>3</v>
      </c>
      <c r="E959" t="str">
        <f>IF(tbl_SalAccts[[#This Row],[Value]]=1,"Salary",IF(tbl_SalAccts[[#This Row],[Value]]=2,"Fringe",IF(tbl_SalAccts[[#This Row],[Value]]=3,"Other","")))</f>
        <v>Other</v>
      </c>
    </row>
    <row r="960" spans="2:5">
      <c r="B960">
        <v>741422</v>
      </c>
      <c r="C960" t="s">
        <v>1006</v>
      </c>
      <c r="D960">
        <v>3</v>
      </c>
      <c r="E960" t="str">
        <f>IF(tbl_SalAccts[[#This Row],[Value]]=1,"Salary",IF(tbl_SalAccts[[#This Row],[Value]]=2,"Fringe",IF(tbl_SalAccts[[#This Row],[Value]]=3,"Other","")))</f>
        <v>Other</v>
      </c>
    </row>
    <row r="961" spans="2:5">
      <c r="B961">
        <v>741501</v>
      </c>
      <c r="C961" t="s">
        <v>1007</v>
      </c>
      <c r="D961">
        <v>3</v>
      </c>
      <c r="E961" t="str">
        <f>IF(tbl_SalAccts[[#This Row],[Value]]=1,"Salary",IF(tbl_SalAccts[[#This Row],[Value]]=2,"Fringe",IF(tbl_SalAccts[[#This Row],[Value]]=3,"Other","")))</f>
        <v>Other</v>
      </c>
    </row>
    <row r="962" spans="2:5">
      <c r="B962">
        <v>741502</v>
      </c>
      <c r="C962" t="s">
        <v>1008</v>
      </c>
      <c r="D962">
        <v>3</v>
      </c>
      <c r="E962" t="str">
        <f>IF(tbl_SalAccts[[#This Row],[Value]]=1,"Salary",IF(tbl_SalAccts[[#This Row],[Value]]=2,"Fringe",IF(tbl_SalAccts[[#This Row],[Value]]=3,"Other","")))</f>
        <v>Other</v>
      </c>
    </row>
    <row r="963" spans="2:5">
      <c r="B963">
        <v>741503</v>
      </c>
      <c r="C963" t="s">
        <v>1009</v>
      </c>
      <c r="D963">
        <v>3</v>
      </c>
      <c r="E963" t="str">
        <f>IF(tbl_SalAccts[[#This Row],[Value]]=1,"Salary",IF(tbl_SalAccts[[#This Row],[Value]]=2,"Fringe",IF(tbl_SalAccts[[#This Row],[Value]]=3,"Other","")))</f>
        <v>Other</v>
      </c>
    </row>
    <row r="964" spans="2:5">
      <c r="B964">
        <v>741504</v>
      </c>
      <c r="C964" t="s">
        <v>1010</v>
      </c>
      <c r="D964">
        <v>3</v>
      </c>
      <c r="E964" t="str">
        <f>IF(tbl_SalAccts[[#This Row],[Value]]=1,"Salary",IF(tbl_SalAccts[[#This Row],[Value]]=2,"Fringe",IF(tbl_SalAccts[[#This Row],[Value]]=3,"Other","")))</f>
        <v>Other</v>
      </c>
    </row>
    <row r="965" spans="2:5">
      <c r="B965">
        <v>741505</v>
      </c>
      <c r="C965" t="s">
        <v>1011</v>
      </c>
      <c r="D965">
        <v>3</v>
      </c>
      <c r="E965" t="str">
        <f>IF(tbl_SalAccts[[#This Row],[Value]]=1,"Salary",IF(tbl_SalAccts[[#This Row],[Value]]=2,"Fringe",IF(tbl_SalAccts[[#This Row],[Value]]=3,"Other","")))</f>
        <v>Other</v>
      </c>
    </row>
    <row r="966" spans="2:5">
      <c r="B966">
        <v>741506</v>
      </c>
      <c r="C966" t="s">
        <v>1012</v>
      </c>
      <c r="D966">
        <v>3</v>
      </c>
      <c r="E966" t="str">
        <f>IF(tbl_SalAccts[[#This Row],[Value]]=1,"Salary",IF(tbl_SalAccts[[#This Row],[Value]]=2,"Fringe",IF(tbl_SalAccts[[#This Row],[Value]]=3,"Other","")))</f>
        <v>Other</v>
      </c>
    </row>
    <row r="967" spans="2:5">
      <c r="B967">
        <v>741507</v>
      </c>
      <c r="C967" t="s">
        <v>1013</v>
      </c>
      <c r="D967">
        <v>3</v>
      </c>
      <c r="E967" t="str">
        <f>IF(tbl_SalAccts[[#This Row],[Value]]=1,"Salary",IF(tbl_SalAccts[[#This Row],[Value]]=2,"Fringe",IF(tbl_SalAccts[[#This Row],[Value]]=3,"Other","")))</f>
        <v>Other</v>
      </c>
    </row>
    <row r="968" spans="2:5">
      <c r="B968">
        <v>741508</v>
      </c>
      <c r="C968" t="s">
        <v>1014</v>
      </c>
      <c r="D968">
        <v>3</v>
      </c>
      <c r="E968" t="str">
        <f>IF(tbl_SalAccts[[#This Row],[Value]]=1,"Salary",IF(tbl_SalAccts[[#This Row],[Value]]=2,"Fringe",IF(tbl_SalAccts[[#This Row],[Value]]=3,"Other","")))</f>
        <v>Other</v>
      </c>
    </row>
    <row r="969" spans="2:5">
      <c r="B969">
        <v>741509</v>
      </c>
      <c r="C969" t="s">
        <v>1015</v>
      </c>
      <c r="D969">
        <v>3</v>
      </c>
      <c r="E969" t="str">
        <f>IF(tbl_SalAccts[[#This Row],[Value]]=1,"Salary",IF(tbl_SalAccts[[#This Row],[Value]]=2,"Fringe",IF(tbl_SalAccts[[#This Row],[Value]]=3,"Other","")))</f>
        <v>Other</v>
      </c>
    </row>
    <row r="970" spans="2:5">
      <c r="B970">
        <v>741521</v>
      </c>
      <c r="C970" t="s">
        <v>1016</v>
      </c>
      <c r="D970">
        <v>3</v>
      </c>
      <c r="E970" t="str">
        <f>IF(tbl_SalAccts[[#This Row],[Value]]=1,"Salary",IF(tbl_SalAccts[[#This Row],[Value]]=2,"Fringe",IF(tbl_SalAccts[[#This Row],[Value]]=3,"Other","")))</f>
        <v>Other</v>
      </c>
    </row>
    <row r="971" spans="2:5">
      <c r="B971">
        <v>741530</v>
      </c>
      <c r="C971" t="s">
        <v>1017</v>
      </c>
      <c r="D971">
        <v>3</v>
      </c>
      <c r="E971" t="str">
        <f>IF(tbl_SalAccts[[#This Row],[Value]]=1,"Salary",IF(tbl_SalAccts[[#This Row],[Value]]=2,"Fringe",IF(tbl_SalAccts[[#This Row],[Value]]=3,"Other","")))</f>
        <v>Other</v>
      </c>
    </row>
    <row r="972" spans="2:5">
      <c r="B972">
        <v>741531</v>
      </c>
      <c r="C972" t="s">
        <v>1018</v>
      </c>
      <c r="D972">
        <v>3</v>
      </c>
      <c r="E972" t="str">
        <f>IF(tbl_SalAccts[[#This Row],[Value]]=1,"Salary",IF(tbl_SalAccts[[#This Row],[Value]]=2,"Fringe",IF(tbl_SalAccts[[#This Row],[Value]]=3,"Other","")))</f>
        <v>Other</v>
      </c>
    </row>
    <row r="973" spans="2:5">
      <c r="B973">
        <v>741540</v>
      </c>
      <c r="C973" t="s">
        <v>1019</v>
      </c>
      <c r="D973">
        <v>3</v>
      </c>
      <c r="E973" t="str">
        <f>IF(tbl_SalAccts[[#This Row],[Value]]=1,"Salary",IF(tbl_SalAccts[[#This Row],[Value]]=2,"Fringe",IF(tbl_SalAccts[[#This Row],[Value]]=3,"Other","")))</f>
        <v>Other</v>
      </c>
    </row>
    <row r="974" spans="2:5">
      <c r="B974">
        <v>741541</v>
      </c>
      <c r="C974" t="s">
        <v>1020</v>
      </c>
      <c r="D974">
        <v>3</v>
      </c>
      <c r="E974" t="str">
        <f>IF(tbl_SalAccts[[#This Row],[Value]]=1,"Salary",IF(tbl_SalAccts[[#This Row],[Value]]=2,"Fringe",IF(tbl_SalAccts[[#This Row],[Value]]=3,"Other","")))</f>
        <v>Other</v>
      </c>
    </row>
    <row r="975" spans="2:5">
      <c r="B975">
        <v>741542</v>
      </c>
      <c r="C975" t="s">
        <v>1021</v>
      </c>
      <c r="D975">
        <v>3</v>
      </c>
      <c r="E975" t="str">
        <f>IF(tbl_SalAccts[[#This Row],[Value]]=1,"Salary",IF(tbl_SalAccts[[#This Row],[Value]]=2,"Fringe",IF(tbl_SalAccts[[#This Row],[Value]]=3,"Other","")))</f>
        <v>Other</v>
      </c>
    </row>
    <row r="976" spans="2:5">
      <c r="B976">
        <v>741543</v>
      </c>
      <c r="C976" t="s">
        <v>1022</v>
      </c>
      <c r="D976">
        <v>3</v>
      </c>
      <c r="E976" t="str">
        <f>IF(tbl_SalAccts[[#This Row],[Value]]=1,"Salary",IF(tbl_SalAccts[[#This Row],[Value]]=2,"Fringe",IF(tbl_SalAccts[[#This Row],[Value]]=3,"Other","")))</f>
        <v>Other</v>
      </c>
    </row>
    <row r="977" spans="2:5">
      <c r="B977">
        <v>741544</v>
      </c>
      <c r="C977" t="s">
        <v>1023</v>
      </c>
      <c r="D977">
        <v>3</v>
      </c>
      <c r="E977" t="str">
        <f>IF(tbl_SalAccts[[#This Row],[Value]]=1,"Salary",IF(tbl_SalAccts[[#This Row],[Value]]=2,"Fringe",IF(tbl_SalAccts[[#This Row],[Value]]=3,"Other","")))</f>
        <v>Other</v>
      </c>
    </row>
    <row r="978" spans="2:5">
      <c r="B978">
        <v>741550</v>
      </c>
      <c r="C978" t="s">
        <v>1024</v>
      </c>
      <c r="D978">
        <v>3</v>
      </c>
      <c r="E978" t="str">
        <f>IF(tbl_SalAccts[[#This Row],[Value]]=1,"Salary",IF(tbl_SalAccts[[#This Row],[Value]]=2,"Fringe",IF(tbl_SalAccts[[#This Row],[Value]]=3,"Other","")))</f>
        <v>Other</v>
      </c>
    </row>
    <row r="979" spans="2:5">
      <c r="B979">
        <v>741560</v>
      </c>
      <c r="C979" t="s">
        <v>1025</v>
      </c>
      <c r="D979">
        <v>3</v>
      </c>
      <c r="E979" t="str">
        <f>IF(tbl_SalAccts[[#This Row],[Value]]=1,"Salary",IF(tbl_SalAccts[[#This Row],[Value]]=2,"Fringe",IF(tbl_SalAccts[[#This Row],[Value]]=3,"Other","")))</f>
        <v>Other</v>
      </c>
    </row>
    <row r="980" spans="2:5">
      <c r="B980">
        <v>741565</v>
      </c>
      <c r="C980" t="s">
        <v>1026</v>
      </c>
      <c r="D980">
        <v>3</v>
      </c>
      <c r="E980" t="str">
        <f>IF(tbl_SalAccts[[#This Row],[Value]]=1,"Salary",IF(tbl_SalAccts[[#This Row],[Value]]=2,"Fringe",IF(tbl_SalAccts[[#This Row],[Value]]=3,"Other","")))</f>
        <v>Other</v>
      </c>
    </row>
    <row r="981" spans="2:5">
      <c r="B981">
        <v>741570</v>
      </c>
      <c r="C981" t="s">
        <v>1027</v>
      </c>
      <c r="D981">
        <v>3</v>
      </c>
      <c r="E981" t="str">
        <f>IF(tbl_SalAccts[[#This Row],[Value]]=1,"Salary",IF(tbl_SalAccts[[#This Row],[Value]]=2,"Fringe",IF(tbl_SalAccts[[#This Row],[Value]]=3,"Other","")))</f>
        <v>Other</v>
      </c>
    </row>
    <row r="982" spans="2:5">
      <c r="B982">
        <v>741575</v>
      </c>
      <c r="C982" t="s">
        <v>1028</v>
      </c>
      <c r="D982">
        <v>3</v>
      </c>
      <c r="E982" t="str">
        <f>IF(tbl_SalAccts[[#This Row],[Value]]=1,"Salary",IF(tbl_SalAccts[[#This Row],[Value]]=2,"Fringe",IF(tbl_SalAccts[[#This Row],[Value]]=3,"Other","")))</f>
        <v>Other</v>
      </c>
    </row>
    <row r="983" spans="2:5">
      <c r="B983">
        <v>741580</v>
      </c>
      <c r="C983" t="s">
        <v>1029</v>
      </c>
      <c r="D983">
        <v>3</v>
      </c>
      <c r="E983" t="str">
        <f>IF(tbl_SalAccts[[#This Row],[Value]]=1,"Salary",IF(tbl_SalAccts[[#This Row],[Value]]=2,"Fringe",IF(tbl_SalAccts[[#This Row],[Value]]=3,"Other","")))</f>
        <v>Other</v>
      </c>
    </row>
    <row r="984" spans="2:5">
      <c r="B984">
        <v>741581</v>
      </c>
      <c r="C984" t="s">
        <v>1030</v>
      </c>
      <c r="D984">
        <v>3</v>
      </c>
      <c r="E984" t="str">
        <f>IF(tbl_SalAccts[[#This Row],[Value]]=1,"Salary",IF(tbl_SalAccts[[#This Row],[Value]]=2,"Fringe",IF(tbl_SalAccts[[#This Row],[Value]]=3,"Other","")))</f>
        <v>Other</v>
      </c>
    </row>
    <row r="985" spans="2:5">
      <c r="B985">
        <v>741582</v>
      </c>
      <c r="C985" t="s">
        <v>1031</v>
      </c>
      <c r="D985">
        <v>3</v>
      </c>
      <c r="E985" t="str">
        <f>IF(tbl_SalAccts[[#This Row],[Value]]=1,"Salary",IF(tbl_SalAccts[[#This Row],[Value]]=2,"Fringe",IF(tbl_SalAccts[[#This Row],[Value]]=3,"Other","")))</f>
        <v>Other</v>
      </c>
    </row>
    <row r="986" spans="2:5">
      <c r="B986">
        <v>741610</v>
      </c>
      <c r="C986" t="s">
        <v>1032</v>
      </c>
      <c r="D986">
        <v>3</v>
      </c>
      <c r="E986" t="str">
        <f>IF(tbl_SalAccts[[#This Row],[Value]]=1,"Salary",IF(tbl_SalAccts[[#This Row],[Value]]=2,"Fringe",IF(tbl_SalAccts[[#This Row],[Value]]=3,"Other","")))</f>
        <v>Other</v>
      </c>
    </row>
    <row r="987" spans="2:5">
      <c r="B987">
        <v>741620</v>
      </c>
      <c r="C987" t="s">
        <v>1033</v>
      </c>
      <c r="D987">
        <v>3</v>
      </c>
      <c r="E987" t="str">
        <f>IF(tbl_SalAccts[[#This Row],[Value]]=1,"Salary",IF(tbl_SalAccts[[#This Row],[Value]]=2,"Fringe",IF(tbl_SalAccts[[#This Row],[Value]]=3,"Other","")))</f>
        <v>Other</v>
      </c>
    </row>
    <row r="988" spans="2:5">
      <c r="B988">
        <v>741640</v>
      </c>
      <c r="C988" t="s">
        <v>1034</v>
      </c>
      <c r="D988">
        <v>3</v>
      </c>
      <c r="E988" t="str">
        <f>IF(tbl_SalAccts[[#This Row],[Value]]=1,"Salary",IF(tbl_SalAccts[[#This Row],[Value]]=2,"Fringe",IF(tbl_SalAccts[[#This Row],[Value]]=3,"Other","")))</f>
        <v>Other</v>
      </c>
    </row>
    <row r="989" spans="2:5">
      <c r="B989">
        <v>741650</v>
      </c>
      <c r="C989" t="s">
        <v>1035</v>
      </c>
      <c r="D989">
        <v>3</v>
      </c>
      <c r="E989" t="str">
        <f>IF(tbl_SalAccts[[#This Row],[Value]]=1,"Salary",IF(tbl_SalAccts[[#This Row],[Value]]=2,"Fringe",IF(tbl_SalAccts[[#This Row],[Value]]=3,"Other","")))</f>
        <v>Other</v>
      </c>
    </row>
    <row r="990" spans="2:5">
      <c r="B990">
        <v>741660</v>
      </c>
      <c r="C990" t="s">
        <v>1036</v>
      </c>
      <c r="D990">
        <v>3</v>
      </c>
      <c r="E990" t="str">
        <f>IF(tbl_SalAccts[[#This Row],[Value]]=1,"Salary",IF(tbl_SalAccts[[#This Row],[Value]]=2,"Fringe",IF(tbl_SalAccts[[#This Row],[Value]]=3,"Other","")))</f>
        <v>Other</v>
      </c>
    </row>
    <row r="991" spans="2:5">
      <c r="B991">
        <v>741670</v>
      </c>
      <c r="C991" t="s">
        <v>1037</v>
      </c>
      <c r="D991">
        <v>3</v>
      </c>
      <c r="E991" t="str">
        <f>IF(tbl_SalAccts[[#This Row],[Value]]=1,"Salary",IF(tbl_SalAccts[[#This Row],[Value]]=2,"Fringe",IF(tbl_SalAccts[[#This Row],[Value]]=3,"Other","")))</f>
        <v>Other</v>
      </c>
    </row>
    <row r="992" spans="2:5">
      <c r="B992">
        <v>741721</v>
      </c>
      <c r="C992" t="s">
        <v>1038</v>
      </c>
      <c r="D992">
        <v>3</v>
      </c>
      <c r="E992" t="str">
        <f>IF(tbl_SalAccts[[#This Row],[Value]]=1,"Salary",IF(tbl_SalAccts[[#This Row],[Value]]=2,"Fringe",IF(tbl_SalAccts[[#This Row],[Value]]=3,"Other","")))</f>
        <v>Other</v>
      </c>
    </row>
    <row r="993" spans="2:5">
      <c r="B993">
        <v>741731</v>
      </c>
      <c r="C993" t="s">
        <v>1039</v>
      </c>
      <c r="D993">
        <v>3</v>
      </c>
      <c r="E993" t="str">
        <f>IF(tbl_SalAccts[[#This Row],[Value]]=1,"Salary",IF(tbl_SalAccts[[#This Row],[Value]]=2,"Fringe",IF(tbl_SalAccts[[#This Row],[Value]]=3,"Other","")))</f>
        <v>Other</v>
      </c>
    </row>
    <row r="994" spans="2:5">
      <c r="B994">
        <v>741741</v>
      </c>
      <c r="C994" t="s">
        <v>1040</v>
      </c>
      <c r="D994">
        <v>3</v>
      </c>
      <c r="E994" t="str">
        <f>IF(tbl_SalAccts[[#This Row],[Value]]=1,"Salary",IF(tbl_SalAccts[[#This Row],[Value]]=2,"Fringe",IF(tbl_SalAccts[[#This Row],[Value]]=3,"Other","")))</f>
        <v>Other</v>
      </c>
    </row>
    <row r="995" spans="2:5">
      <c r="B995">
        <v>741811</v>
      </c>
      <c r="C995" t="s">
        <v>1041</v>
      </c>
      <c r="D995">
        <v>3</v>
      </c>
      <c r="E995" t="str">
        <f>IF(tbl_SalAccts[[#This Row],[Value]]=1,"Salary",IF(tbl_SalAccts[[#This Row],[Value]]=2,"Fringe",IF(tbl_SalAccts[[#This Row],[Value]]=3,"Other","")))</f>
        <v>Other</v>
      </c>
    </row>
    <row r="996" spans="2:5">
      <c r="B996">
        <v>741821</v>
      </c>
      <c r="C996" t="s">
        <v>1042</v>
      </c>
      <c r="D996">
        <v>3</v>
      </c>
      <c r="E996" t="str">
        <f>IF(tbl_SalAccts[[#This Row],[Value]]=1,"Salary",IF(tbl_SalAccts[[#This Row],[Value]]=2,"Fringe",IF(tbl_SalAccts[[#This Row],[Value]]=3,"Other","")))</f>
        <v>Other</v>
      </c>
    </row>
    <row r="997" spans="2:5">
      <c r="B997">
        <v>741831</v>
      </c>
      <c r="C997" t="s">
        <v>1043</v>
      </c>
      <c r="D997">
        <v>3</v>
      </c>
      <c r="E997" t="str">
        <f>IF(tbl_SalAccts[[#This Row],[Value]]=1,"Salary",IF(tbl_SalAccts[[#This Row],[Value]]=2,"Fringe",IF(tbl_SalAccts[[#This Row],[Value]]=3,"Other","")))</f>
        <v>Other</v>
      </c>
    </row>
    <row r="998" spans="2:5">
      <c r="B998">
        <v>741851</v>
      </c>
      <c r="C998" t="s">
        <v>1044</v>
      </c>
      <c r="D998">
        <v>3</v>
      </c>
      <c r="E998" t="str">
        <f>IF(tbl_SalAccts[[#This Row],[Value]]=1,"Salary",IF(tbl_SalAccts[[#This Row],[Value]]=2,"Fringe",IF(tbl_SalAccts[[#This Row],[Value]]=3,"Other","")))</f>
        <v>Other</v>
      </c>
    </row>
    <row r="999" spans="2:5">
      <c r="B999">
        <v>741871</v>
      </c>
      <c r="C999" t="s">
        <v>1045</v>
      </c>
      <c r="D999">
        <v>3</v>
      </c>
      <c r="E999" t="str">
        <f>IF(tbl_SalAccts[[#This Row],[Value]]=1,"Salary",IF(tbl_SalAccts[[#This Row],[Value]]=2,"Fringe",IF(tbl_SalAccts[[#This Row],[Value]]=3,"Other","")))</f>
        <v>Other</v>
      </c>
    </row>
    <row r="1000" spans="2:5">
      <c r="B1000">
        <v>741881</v>
      </c>
      <c r="C1000" t="s">
        <v>1046</v>
      </c>
      <c r="D1000">
        <v>3</v>
      </c>
      <c r="E1000" t="str">
        <f>IF(tbl_SalAccts[[#This Row],[Value]]=1,"Salary",IF(tbl_SalAccts[[#This Row],[Value]]=2,"Fringe",IF(tbl_SalAccts[[#This Row],[Value]]=3,"Other","")))</f>
        <v>Other</v>
      </c>
    </row>
    <row r="1001" spans="2:5">
      <c r="B1001">
        <v>741901</v>
      </c>
      <c r="C1001" t="s">
        <v>1047</v>
      </c>
      <c r="D1001">
        <v>3</v>
      </c>
      <c r="E1001" t="str">
        <f>IF(tbl_SalAccts[[#This Row],[Value]]=1,"Salary",IF(tbl_SalAccts[[#This Row],[Value]]=2,"Fringe",IF(tbl_SalAccts[[#This Row],[Value]]=3,"Other","")))</f>
        <v>Other</v>
      </c>
    </row>
    <row r="1002" spans="2:5">
      <c r="B1002">
        <v>741902</v>
      </c>
      <c r="C1002" t="s">
        <v>1048</v>
      </c>
      <c r="D1002">
        <v>3</v>
      </c>
      <c r="E1002" t="str">
        <f>IF(tbl_SalAccts[[#This Row],[Value]]=1,"Salary",IF(tbl_SalAccts[[#This Row],[Value]]=2,"Fringe",IF(tbl_SalAccts[[#This Row],[Value]]=3,"Other","")))</f>
        <v>Other</v>
      </c>
    </row>
    <row r="1003" spans="2:5">
      <c r="B1003">
        <v>741910</v>
      </c>
      <c r="C1003" t="s">
        <v>1049</v>
      </c>
      <c r="D1003">
        <v>3</v>
      </c>
      <c r="E1003" t="str">
        <f>IF(tbl_SalAccts[[#This Row],[Value]]=1,"Salary",IF(tbl_SalAccts[[#This Row],[Value]]=2,"Fringe",IF(tbl_SalAccts[[#This Row],[Value]]=3,"Other","")))</f>
        <v>Other</v>
      </c>
    </row>
    <row r="1004" spans="2:5">
      <c r="B1004">
        <v>741911</v>
      </c>
      <c r="C1004" t="s">
        <v>1050</v>
      </c>
      <c r="D1004">
        <v>3</v>
      </c>
      <c r="E1004" t="str">
        <f>IF(tbl_SalAccts[[#This Row],[Value]]=1,"Salary",IF(tbl_SalAccts[[#This Row],[Value]]=2,"Fringe",IF(tbl_SalAccts[[#This Row],[Value]]=3,"Other","")))</f>
        <v>Other</v>
      </c>
    </row>
    <row r="1005" spans="2:5">
      <c r="B1005">
        <v>741921</v>
      </c>
      <c r="C1005" t="s">
        <v>1051</v>
      </c>
      <c r="D1005">
        <v>3</v>
      </c>
      <c r="E1005" t="str">
        <f>IF(tbl_SalAccts[[#This Row],[Value]]=1,"Salary",IF(tbl_SalAccts[[#This Row],[Value]]=2,"Fringe",IF(tbl_SalAccts[[#This Row],[Value]]=3,"Other","")))</f>
        <v>Other</v>
      </c>
    </row>
    <row r="1006" spans="2:5">
      <c r="B1006">
        <v>741922</v>
      </c>
      <c r="C1006" t="s">
        <v>1052</v>
      </c>
      <c r="D1006">
        <v>3</v>
      </c>
      <c r="E1006" t="str">
        <f>IF(tbl_SalAccts[[#This Row],[Value]]=1,"Salary",IF(tbl_SalAccts[[#This Row],[Value]]=2,"Fringe",IF(tbl_SalAccts[[#This Row],[Value]]=3,"Other","")))</f>
        <v>Other</v>
      </c>
    </row>
    <row r="1007" spans="2:5">
      <c r="B1007">
        <v>741923</v>
      </c>
      <c r="C1007" t="s">
        <v>1053</v>
      </c>
      <c r="D1007">
        <v>3</v>
      </c>
      <c r="E1007" t="str">
        <f>IF(tbl_SalAccts[[#This Row],[Value]]=1,"Salary",IF(tbl_SalAccts[[#This Row],[Value]]=2,"Fringe",IF(tbl_SalAccts[[#This Row],[Value]]=3,"Other","")))</f>
        <v>Other</v>
      </c>
    </row>
    <row r="1008" spans="2:5">
      <c r="B1008">
        <v>741924</v>
      </c>
      <c r="C1008" t="s">
        <v>1054</v>
      </c>
      <c r="D1008">
        <v>3</v>
      </c>
      <c r="E1008" t="str">
        <f>IF(tbl_SalAccts[[#This Row],[Value]]=1,"Salary",IF(tbl_SalAccts[[#This Row],[Value]]=2,"Fringe",IF(tbl_SalAccts[[#This Row],[Value]]=3,"Other","")))</f>
        <v>Other</v>
      </c>
    </row>
    <row r="1009" spans="2:5">
      <c r="B1009">
        <v>741940</v>
      </c>
      <c r="C1009" t="s">
        <v>1055</v>
      </c>
      <c r="D1009">
        <v>3</v>
      </c>
      <c r="E1009" t="str">
        <f>IF(tbl_SalAccts[[#This Row],[Value]]=1,"Salary",IF(tbl_SalAccts[[#This Row],[Value]]=2,"Fringe",IF(tbl_SalAccts[[#This Row],[Value]]=3,"Other","")))</f>
        <v>Other</v>
      </c>
    </row>
    <row r="1010" spans="2:5">
      <c r="B1010">
        <v>741941</v>
      </c>
      <c r="C1010" t="s">
        <v>1056</v>
      </c>
      <c r="D1010">
        <v>3</v>
      </c>
      <c r="E1010" t="str">
        <f>IF(tbl_SalAccts[[#This Row],[Value]]=1,"Salary",IF(tbl_SalAccts[[#This Row],[Value]]=2,"Fringe",IF(tbl_SalAccts[[#This Row],[Value]]=3,"Other","")))</f>
        <v>Other</v>
      </c>
    </row>
    <row r="1011" spans="2:5">
      <c r="B1011">
        <v>741951</v>
      </c>
      <c r="C1011" t="s">
        <v>1057</v>
      </c>
      <c r="D1011">
        <v>3</v>
      </c>
      <c r="E1011" t="str">
        <f>IF(tbl_SalAccts[[#This Row],[Value]]=1,"Salary",IF(tbl_SalAccts[[#This Row],[Value]]=2,"Fringe",IF(tbl_SalAccts[[#This Row],[Value]]=3,"Other","")))</f>
        <v>Other</v>
      </c>
    </row>
    <row r="1012" spans="2:5">
      <c r="B1012">
        <v>741952</v>
      </c>
      <c r="C1012" t="s">
        <v>1058</v>
      </c>
      <c r="D1012">
        <v>3</v>
      </c>
      <c r="E1012" t="str">
        <f>IF(tbl_SalAccts[[#This Row],[Value]]=1,"Salary",IF(tbl_SalAccts[[#This Row],[Value]]=2,"Fringe",IF(tbl_SalAccts[[#This Row],[Value]]=3,"Other","")))</f>
        <v>Other</v>
      </c>
    </row>
    <row r="1013" spans="2:5">
      <c r="B1013">
        <v>741953</v>
      </c>
      <c r="C1013" t="s">
        <v>1059</v>
      </c>
      <c r="D1013">
        <v>3</v>
      </c>
      <c r="E1013" t="str">
        <f>IF(tbl_SalAccts[[#This Row],[Value]]=1,"Salary",IF(tbl_SalAccts[[#This Row],[Value]]=2,"Fringe",IF(tbl_SalAccts[[#This Row],[Value]]=3,"Other","")))</f>
        <v>Other</v>
      </c>
    </row>
    <row r="1014" spans="2:5">
      <c r="B1014">
        <v>741954</v>
      </c>
      <c r="C1014" t="s">
        <v>1060</v>
      </c>
      <c r="D1014">
        <v>3</v>
      </c>
      <c r="E1014" t="str">
        <f>IF(tbl_SalAccts[[#This Row],[Value]]=1,"Salary",IF(tbl_SalAccts[[#This Row],[Value]]=2,"Fringe",IF(tbl_SalAccts[[#This Row],[Value]]=3,"Other","")))</f>
        <v>Other</v>
      </c>
    </row>
    <row r="1015" spans="2:5">
      <c r="B1015">
        <v>741955</v>
      </c>
      <c r="C1015" t="s">
        <v>1061</v>
      </c>
      <c r="D1015">
        <v>3</v>
      </c>
      <c r="E1015" t="str">
        <f>IF(tbl_SalAccts[[#This Row],[Value]]=1,"Salary",IF(tbl_SalAccts[[#This Row],[Value]]=2,"Fringe",IF(tbl_SalAccts[[#This Row],[Value]]=3,"Other","")))</f>
        <v>Other</v>
      </c>
    </row>
    <row r="1016" spans="2:5">
      <c r="B1016">
        <v>741956</v>
      </c>
      <c r="C1016" t="s">
        <v>1062</v>
      </c>
      <c r="D1016">
        <v>3</v>
      </c>
      <c r="E1016" t="str">
        <f>IF(tbl_SalAccts[[#This Row],[Value]]=1,"Salary",IF(tbl_SalAccts[[#This Row],[Value]]=2,"Fringe",IF(tbl_SalAccts[[#This Row],[Value]]=3,"Other","")))</f>
        <v>Other</v>
      </c>
    </row>
    <row r="1017" spans="2:5">
      <c r="B1017">
        <v>741957</v>
      </c>
      <c r="C1017" t="s">
        <v>1063</v>
      </c>
      <c r="D1017">
        <v>3</v>
      </c>
      <c r="E1017" t="str">
        <f>IF(tbl_SalAccts[[#This Row],[Value]]=1,"Salary",IF(tbl_SalAccts[[#This Row],[Value]]=2,"Fringe",IF(tbl_SalAccts[[#This Row],[Value]]=3,"Other","")))</f>
        <v>Other</v>
      </c>
    </row>
    <row r="1018" spans="2:5">
      <c r="B1018">
        <v>741958</v>
      </c>
      <c r="C1018" t="s">
        <v>1064</v>
      </c>
      <c r="D1018">
        <v>3</v>
      </c>
      <c r="E1018" t="str">
        <f>IF(tbl_SalAccts[[#This Row],[Value]]=1,"Salary",IF(tbl_SalAccts[[#This Row],[Value]]=2,"Fringe",IF(tbl_SalAccts[[#This Row],[Value]]=3,"Other","")))</f>
        <v>Other</v>
      </c>
    </row>
    <row r="1019" spans="2:5">
      <c r="B1019">
        <v>741959</v>
      </c>
      <c r="C1019" t="s">
        <v>1065</v>
      </c>
      <c r="D1019">
        <v>3</v>
      </c>
      <c r="E1019" t="str">
        <f>IF(tbl_SalAccts[[#This Row],[Value]]=1,"Salary",IF(tbl_SalAccts[[#This Row],[Value]]=2,"Fringe",IF(tbl_SalAccts[[#This Row],[Value]]=3,"Other","")))</f>
        <v>Other</v>
      </c>
    </row>
    <row r="1020" spans="2:5">
      <c r="B1020">
        <v>741960</v>
      </c>
      <c r="C1020" t="s">
        <v>1066</v>
      </c>
      <c r="D1020">
        <v>3</v>
      </c>
      <c r="E1020" t="str">
        <f>IF(tbl_SalAccts[[#This Row],[Value]]=1,"Salary",IF(tbl_SalAccts[[#This Row],[Value]]=2,"Fringe",IF(tbl_SalAccts[[#This Row],[Value]]=3,"Other","")))</f>
        <v>Other</v>
      </c>
    </row>
    <row r="1021" spans="2:5">
      <c r="B1021">
        <v>741965</v>
      </c>
      <c r="C1021" t="s">
        <v>1067</v>
      </c>
      <c r="D1021">
        <v>3</v>
      </c>
      <c r="E1021" t="str">
        <f>IF(tbl_SalAccts[[#This Row],[Value]]=1,"Salary",IF(tbl_SalAccts[[#This Row],[Value]]=2,"Fringe",IF(tbl_SalAccts[[#This Row],[Value]]=3,"Other","")))</f>
        <v>Other</v>
      </c>
    </row>
    <row r="1022" spans="2:5">
      <c r="B1022">
        <v>741966</v>
      </c>
      <c r="C1022" t="s">
        <v>1068</v>
      </c>
      <c r="D1022">
        <v>3</v>
      </c>
      <c r="E1022" t="str">
        <f>IF(tbl_SalAccts[[#This Row],[Value]]=1,"Salary",IF(tbl_SalAccts[[#This Row],[Value]]=2,"Fringe",IF(tbl_SalAccts[[#This Row],[Value]]=3,"Other","")))</f>
        <v>Other</v>
      </c>
    </row>
    <row r="1023" spans="2:5">
      <c r="B1023">
        <v>741970</v>
      </c>
      <c r="C1023" t="s">
        <v>1069</v>
      </c>
      <c r="D1023">
        <v>3</v>
      </c>
      <c r="E1023" t="str">
        <f>IF(tbl_SalAccts[[#This Row],[Value]]=1,"Salary",IF(tbl_SalAccts[[#This Row],[Value]]=2,"Fringe",IF(tbl_SalAccts[[#This Row],[Value]]=3,"Other","")))</f>
        <v>Other</v>
      </c>
    </row>
    <row r="1024" spans="2:5">
      <c r="B1024">
        <v>741981</v>
      </c>
      <c r="C1024" t="s">
        <v>1070</v>
      </c>
      <c r="D1024">
        <v>3</v>
      </c>
      <c r="E1024" t="str">
        <f>IF(tbl_SalAccts[[#This Row],[Value]]=1,"Salary",IF(tbl_SalAccts[[#This Row],[Value]]=2,"Fringe",IF(tbl_SalAccts[[#This Row],[Value]]=3,"Other","")))</f>
        <v>Other</v>
      </c>
    </row>
    <row r="1025" spans="2:5">
      <c r="B1025">
        <v>741982</v>
      </c>
      <c r="C1025" t="s">
        <v>1071</v>
      </c>
      <c r="D1025">
        <v>3</v>
      </c>
      <c r="E1025" t="str">
        <f>IF(tbl_SalAccts[[#This Row],[Value]]=1,"Salary",IF(tbl_SalAccts[[#This Row],[Value]]=2,"Fringe",IF(tbl_SalAccts[[#This Row],[Value]]=3,"Other","")))</f>
        <v>Other</v>
      </c>
    </row>
    <row r="1026" spans="2:5">
      <c r="B1026">
        <v>741984</v>
      </c>
      <c r="C1026" t="s">
        <v>1072</v>
      </c>
      <c r="D1026">
        <v>3</v>
      </c>
      <c r="E1026" t="str">
        <f>IF(tbl_SalAccts[[#This Row],[Value]]=1,"Salary",IF(tbl_SalAccts[[#This Row],[Value]]=2,"Fringe",IF(tbl_SalAccts[[#This Row],[Value]]=3,"Other","")))</f>
        <v>Other</v>
      </c>
    </row>
    <row r="1027" spans="2:5">
      <c r="B1027">
        <v>742100</v>
      </c>
      <c r="C1027" t="s">
        <v>1073</v>
      </c>
      <c r="D1027">
        <v>3</v>
      </c>
      <c r="E1027" t="str">
        <f>IF(tbl_SalAccts[[#This Row],[Value]]=1,"Salary",IF(tbl_SalAccts[[#This Row],[Value]]=2,"Fringe",IF(tbl_SalAccts[[#This Row],[Value]]=3,"Other","")))</f>
        <v>Other</v>
      </c>
    </row>
    <row r="1028" spans="2:5">
      <c r="B1028">
        <v>742101</v>
      </c>
      <c r="C1028" t="s">
        <v>1074</v>
      </c>
      <c r="D1028">
        <v>3</v>
      </c>
      <c r="E1028" t="str">
        <f>IF(tbl_SalAccts[[#This Row],[Value]]=1,"Salary",IF(tbl_SalAccts[[#This Row],[Value]]=2,"Fringe",IF(tbl_SalAccts[[#This Row],[Value]]=3,"Other","")))</f>
        <v>Other</v>
      </c>
    </row>
    <row r="1029" spans="2:5">
      <c r="B1029">
        <v>742102</v>
      </c>
      <c r="C1029" t="s">
        <v>1075</v>
      </c>
      <c r="D1029">
        <v>3</v>
      </c>
      <c r="E1029" t="str">
        <f>IF(tbl_SalAccts[[#This Row],[Value]]=1,"Salary",IF(tbl_SalAccts[[#This Row],[Value]]=2,"Fringe",IF(tbl_SalAccts[[#This Row],[Value]]=3,"Other","")))</f>
        <v>Other</v>
      </c>
    </row>
    <row r="1030" spans="2:5">
      <c r="B1030">
        <v>742103</v>
      </c>
      <c r="C1030" t="s">
        <v>1076</v>
      </c>
      <c r="D1030">
        <v>3</v>
      </c>
      <c r="E1030" t="str">
        <f>IF(tbl_SalAccts[[#This Row],[Value]]=1,"Salary",IF(tbl_SalAccts[[#This Row],[Value]]=2,"Fringe",IF(tbl_SalAccts[[#This Row],[Value]]=3,"Other","")))</f>
        <v>Other</v>
      </c>
    </row>
    <row r="1031" spans="2:5">
      <c r="B1031">
        <v>742104</v>
      </c>
      <c r="C1031" t="s">
        <v>1077</v>
      </c>
      <c r="D1031">
        <v>3</v>
      </c>
      <c r="E1031" t="str">
        <f>IF(tbl_SalAccts[[#This Row],[Value]]=1,"Salary",IF(tbl_SalAccts[[#This Row],[Value]]=2,"Fringe",IF(tbl_SalAccts[[#This Row],[Value]]=3,"Other","")))</f>
        <v>Other</v>
      </c>
    </row>
    <row r="1032" spans="2:5">
      <c r="B1032">
        <v>742105</v>
      </c>
      <c r="C1032" t="s">
        <v>1078</v>
      </c>
      <c r="D1032">
        <v>3</v>
      </c>
      <c r="E1032" t="str">
        <f>IF(tbl_SalAccts[[#This Row],[Value]]=1,"Salary",IF(tbl_SalAccts[[#This Row],[Value]]=2,"Fringe",IF(tbl_SalAccts[[#This Row],[Value]]=3,"Other","")))</f>
        <v>Other</v>
      </c>
    </row>
    <row r="1033" spans="2:5">
      <c r="B1033">
        <v>742106</v>
      </c>
      <c r="C1033" t="s">
        <v>1079</v>
      </c>
      <c r="D1033">
        <v>3</v>
      </c>
      <c r="E1033" t="str">
        <f>IF(tbl_SalAccts[[#This Row],[Value]]=1,"Salary",IF(tbl_SalAccts[[#This Row],[Value]]=2,"Fringe",IF(tbl_SalAccts[[#This Row],[Value]]=3,"Other","")))</f>
        <v>Other</v>
      </c>
    </row>
    <row r="1034" spans="2:5">
      <c r="B1034">
        <v>742107</v>
      </c>
      <c r="C1034" t="s">
        <v>1080</v>
      </c>
      <c r="D1034">
        <v>3</v>
      </c>
      <c r="E1034" t="str">
        <f>IF(tbl_SalAccts[[#This Row],[Value]]=1,"Salary",IF(tbl_SalAccts[[#This Row],[Value]]=2,"Fringe",IF(tbl_SalAccts[[#This Row],[Value]]=3,"Other","")))</f>
        <v>Other</v>
      </c>
    </row>
    <row r="1035" spans="2:5">
      <c r="B1035">
        <v>742108</v>
      </c>
      <c r="C1035" t="s">
        <v>1081</v>
      </c>
      <c r="D1035">
        <v>3</v>
      </c>
      <c r="E1035" t="str">
        <f>IF(tbl_SalAccts[[#This Row],[Value]]=1,"Salary",IF(tbl_SalAccts[[#This Row],[Value]]=2,"Fringe",IF(tbl_SalAccts[[#This Row],[Value]]=3,"Other","")))</f>
        <v>Other</v>
      </c>
    </row>
    <row r="1036" spans="2:5">
      <c r="B1036">
        <v>742109</v>
      </c>
      <c r="C1036" t="s">
        <v>1082</v>
      </c>
      <c r="D1036">
        <v>3</v>
      </c>
      <c r="E1036" t="str">
        <f>IF(tbl_SalAccts[[#This Row],[Value]]=1,"Salary",IF(tbl_SalAccts[[#This Row],[Value]]=2,"Fringe",IF(tbl_SalAccts[[#This Row],[Value]]=3,"Other","")))</f>
        <v>Other</v>
      </c>
    </row>
    <row r="1037" spans="2:5">
      <c r="B1037">
        <v>742110</v>
      </c>
      <c r="C1037" t="s">
        <v>1083</v>
      </c>
      <c r="D1037">
        <v>3</v>
      </c>
      <c r="E1037" t="str">
        <f>IF(tbl_SalAccts[[#This Row],[Value]]=1,"Salary",IF(tbl_SalAccts[[#This Row],[Value]]=2,"Fringe",IF(tbl_SalAccts[[#This Row],[Value]]=3,"Other","")))</f>
        <v>Other</v>
      </c>
    </row>
    <row r="1038" spans="2:5">
      <c r="B1038">
        <v>742111</v>
      </c>
      <c r="C1038" t="s">
        <v>1084</v>
      </c>
      <c r="D1038">
        <v>3</v>
      </c>
      <c r="E1038" t="str">
        <f>IF(tbl_SalAccts[[#This Row],[Value]]=1,"Salary",IF(tbl_SalAccts[[#This Row],[Value]]=2,"Fringe",IF(tbl_SalAccts[[#This Row],[Value]]=3,"Other","")))</f>
        <v>Other</v>
      </c>
    </row>
    <row r="1039" spans="2:5">
      <c r="B1039">
        <v>742112</v>
      </c>
      <c r="C1039" t="s">
        <v>1085</v>
      </c>
      <c r="D1039">
        <v>3</v>
      </c>
      <c r="E1039" t="str">
        <f>IF(tbl_SalAccts[[#This Row],[Value]]=1,"Salary",IF(tbl_SalAccts[[#This Row],[Value]]=2,"Fringe",IF(tbl_SalAccts[[#This Row],[Value]]=3,"Other","")))</f>
        <v>Other</v>
      </c>
    </row>
    <row r="1040" spans="2:5">
      <c r="B1040">
        <v>742113</v>
      </c>
      <c r="C1040" t="s">
        <v>1086</v>
      </c>
      <c r="D1040">
        <v>3</v>
      </c>
      <c r="E1040" t="str">
        <f>IF(tbl_SalAccts[[#This Row],[Value]]=1,"Salary",IF(tbl_SalAccts[[#This Row],[Value]]=2,"Fringe",IF(tbl_SalAccts[[#This Row],[Value]]=3,"Other","")))</f>
        <v>Other</v>
      </c>
    </row>
    <row r="1041" spans="2:5">
      <c r="B1041">
        <v>742121</v>
      </c>
      <c r="C1041" t="s">
        <v>1087</v>
      </c>
      <c r="D1041">
        <v>3</v>
      </c>
      <c r="E1041" t="str">
        <f>IF(tbl_SalAccts[[#This Row],[Value]]=1,"Salary",IF(tbl_SalAccts[[#This Row],[Value]]=2,"Fringe",IF(tbl_SalAccts[[#This Row],[Value]]=3,"Other","")))</f>
        <v>Other</v>
      </c>
    </row>
    <row r="1042" spans="2:5">
      <c r="B1042">
        <v>742125</v>
      </c>
      <c r="C1042" t="s">
        <v>1088</v>
      </c>
      <c r="D1042">
        <v>3</v>
      </c>
      <c r="E1042" t="str">
        <f>IF(tbl_SalAccts[[#This Row],[Value]]=1,"Salary",IF(tbl_SalAccts[[#This Row],[Value]]=2,"Fringe",IF(tbl_SalAccts[[#This Row],[Value]]=3,"Other","")))</f>
        <v>Other</v>
      </c>
    </row>
    <row r="1043" spans="2:5">
      <c r="B1043">
        <v>742201</v>
      </c>
      <c r="C1043" t="s">
        <v>1089</v>
      </c>
      <c r="D1043">
        <v>3</v>
      </c>
      <c r="E1043" t="str">
        <f>IF(tbl_SalAccts[[#This Row],[Value]]=1,"Salary",IF(tbl_SalAccts[[#This Row],[Value]]=2,"Fringe",IF(tbl_SalAccts[[#This Row],[Value]]=3,"Other","")))</f>
        <v>Other</v>
      </c>
    </row>
    <row r="1044" spans="2:5">
      <c r="B1044">
        <v>742202</v>
      </c>
      <c r="C1044" t="s">
        <v>1090</v>
      </c>
      <c r="D1044">
        <v>3</v>
      </c>
      <c r="E1044" t="str">
        <f>IF(tbl_SalAccts[[#This Row],[Value]]=1,"Salary",IF(tbl_SalAccts[[#This Row],[Value]]=2,"Fringe",IF(tbl_SalAccts[[#This Row],[Value]]=3,"Other","")))</f>
        <v>Other</v>
      </c>
    </row>
    <row r="1045" spans="2:5">
      <c r="B1045">
        <v>742203</v>
      </c>
      <c r="C1045" t="s">
        <v>1091</v>
      </c>
      <c r="D1045">
        <v>3</v>
      </c>
      <c r="E1045" t="str">
        <f>IF(tbl_SalAccts[[#This Row],[Value]]=1,"Salary",IF(tbl_SalAccts[[#This Row],[Value]]=2,"Fringe",IF(tbl_SalAccts[[#This Row],[Value]]=3,"Other","")))</f>
        <v>Other</v>
      </c>
    </row>
    <row r="1046" spans="2:5">
      <c r="B1046">
        <v>742204</v>
      </c>
      <c r="C1046" t="s">
        <v>1092</v>
      </c>
      <c r="D1046">
        <v>3</v>
      </c>
      <c r="E1046" t="str">
        <f>IF(tbl_SalAccts[[#This Row],[Value]]=1,"Salary",IF(tbl_SalAccts[[#This Row],[Value]]=2,"Fringe",IF(tbl_SalAccts[[#This Row],[Value]]=3,"Other","")))</f>
        <v>Other</v>
      </c>
    </row>
    <row r="1047" spans="2:5">
      <c r="B1047">
        <v>742205</v>
      </c>
      <c r="C1047" t="s">
        <v>1093</v>
      </c>
      <c r="D1047">
        <v>3</v>
      </c>
      <c r="E1047" t="str">
        <f>IF(tbl_SalAccts[[#This Row],[Value]]=1,"Salary",IF(tbl_SalAccts[[#This Row],[Value]]=2,"Fringe",IF(tbl_SalAccts[[#This Row],[Value]]=3,"Other","")))</f>
        <v>Other</v>
      </c>
    </row>
    <row r="1048" spans="2:5">
      <c r="B1048">
        <v>742206</v>
      </c>
      <c r="C1048" t="s">
        <v>1094</v>
      </c>
      <c r="D1048">
        <v>3</v>
      </c>
      <c r="E1048" t="str">
        <f>IF(tbl_SalAccts[[#This Row],[Value]]=1,"Salary",IF(tbl_SalAccts[[#This Row],[Value]]=2,"Fringe",IF(tbl_SalAccts[[#This Row],[Value]]=3,"Other","")))</f>
        <v>Other</v>
      </c>
    </row>
    <row r="1049" spans="2:5">
      <c r="B1049">
        <v>742207</v>
      </c>
      <c r="C1049" t="s">
        <v>1095</v>
      </c>
      <c r="D1049">
        <v>3</v>
      </c>
      <c r="E1049" t="str">
        <f>IF(tbl_SalAccts[[#This Row],[Value]]=1,"Salary",IF(tbl_SalAccts[[#This Row],[Value]]=2,"Fringe",IF(tbl_SalAccts[[#This Row],[Value]]=3,"Other","")))</f>
        <v>Other</v>
      </c>
    </row>
    <row r="1050" spans="2:5">
      <c r="B1050">
        <v>742208</v>
      </c>
      <c r="C1050" t="s">
        <v>1096</v>
      </c>
      <c r="D1050">
        <v>3</v>
      </c>
      <c r="E1050" t="str">
        <f>IF(tbl_SalAccts[[#This Row],[Value]]=1,"Salary",IF(tbl_SalAccts[[#This Row],[Value]]=2,"Fringe",IF(tbl_SalAccts[[#This Row],[Value]]=3,"Other","")))</f>
        <v>Other</v>
      </c>
    </row>
    <row r="1051" spans="2:5">
      <c r="B1051">
        <v>742209</v>
      </c>
      <c r="C1051" t="s">
        <v>1097</v>
      </c>
      <c r="D1051">
        <v>3</v>
      </c>
      <c r="E1051" t="str">
        <f>IF(tbl_SalAccts[[#This Row],[Value]]=1,"Salary",IF(tbl_SalAccts[[#This Row],[Value]]=2,"Fringe",IF(tbl_SalAccts[[#This Row],[Value]]=3,"Other","")))</f>
        <v>Other</v>
      </c>
    </row>
    <row r="1052" spans="2:5">
      <c r="B1052">
        <v>742210</v>
      </c>
      <c r="C1052" t="s">
        <v>1098</v>
      </c>
      <c r="D1052">
        <v>3</v>
      </c>
      <c r="E1052" t="str">
        <f>IF(tbl_SalAccts[[#This Row],[Value]]=1,"Salary",IF(tbl_SalAccts[[#This Row],[Value]]=2,"Fringe",IF(tbl_SalAccts[[#This Row],[Value]]=3,"Other","")))</f>
        <v>Other</v>
      </c>
    </row>
    <row r="1053" spans="2:5">
      <c r="B1053">
        <v>742211</v>
      </c>
      <c r="C1053" t="s">
        <v>1099</v>
      </c>
      <c r="D1053">
        <v>3</v>
      </c>
      <c r="E1053" t="str">
        <f>IF(tbl_SalAccts[[#This Row],[Value]]=1,"Salary",IF(tbl_SalAccts[[#This Row],[Value]]=2,"Fringe",IF(tbl_SalAccts[[#This Row],[Value]]=3,"Other","")))</f>
        <v>Other</v>
      </c>
    </row>
    <row r="1054" spans="2:5">
      <c r="B1054">
        <v>742212</v>
      </c>
      <c r="C1054" t="s">
        <v>1100</v>
      </c>
      <c r="D1054">
        <v>3</v>
      </c>
      <c r="E1054" t="str">
        <f>IF(tbl_SalAccts[[#This Row],[Value]]=1,"Salary",IF(tbl_SalAccts[[#This Row],[Value]]=2,"Fringe",IF(tbl_SalAccts[[#This Row],[Value]]=3,"Other","")))</f>
        <v>Other</v>
      </c>
    </row>
    <row r="1055" spans="2:5">
      <c r="B1055">
        <v>742213</v>
      </c>
      <c r="C1055" t="s">
        <v>1101</v>
      </c>
      <c r="D1055">
        <v>3</v>
      </c>
      <c r="E1055" t="str">
        <f>IF(tbl_SalAccts[[#This Row],[Value]]=1,"Salary",IF(tbl_SalAccts[[#This Row],[Value]]=2,"Fringe",IF(tbl_SalAccts[[#This Row],[Value]]=3,"Other","")))</f>
        <v>Other</v>
      </c>
    </row>
    <row r="1056" spans="2:5">
      <c r="B1056">
        <v>742215</v>
      </c>
      <c r="C1056" t="s">
        <v>1102</v>
      </c>
      <c r="D1056">
        <v>3</v>
      </c>
      <c r="E1056" t="str">
        <f>IF(tbl_SalAccts[[#This Row],[Value]]=1,"Salary",IF(tbl_SalAccts[[#This Row],[Value]]=2,"Fringe",IF(tbl_SalAccts[[#This Row],[Value]]=3,"Other","")))</f>
        <v>Other</v>
      </c>
    </row>
    <row r="1057" spans="2:5">
      <c r="B1057">
        <v>742216</v>
      </c>
      <c r="C1057" t="s">
        <v>1103</v>
      </c>
      <c r="D1057">
        <v>3</v>
      </c>
      <c r="E1057" t="str">
        <f>IF(tbl_SalAccts[[#This Row],[Value]]=1,"Salary",IF(tbl_SalAccts[[#This Row],[Value]]=2,"Fringe",IF(tbl_SalAccts[[#This Row],[Value]]=3,"Other","")))</f>
        <v>Other</v>
      </c>
    </row>
    <row r="1058" spans="2:5">
      <c r="B1058">
        <v>742217</v>
      </c>
      <c r="C1058" t="s">
        <v>1104</v>
      </c>
      <c r="D1058">
        <v>3</v>
      </c>
      <c r="E1058" t="str">
        <f>IF(tbl_SalAccts[[#This Row],[Value]]=1,"Salary",IF(tbl_SalAccts[[#This Row],[Value]]=2,"Fringe",IF(tbl_SalAccts[[#This Row],[Value]]=3,"Other","")))</f>
        <v>Other</v>
      </c>
    </row>
    <row r="1059" spans="2:5">
      <c r="B1059">
        <v>742218</v>
      </c>
      <c r="C1059" t="s">
        <v>1105</v>
      </c>
      <c r="D1059">
        <v>3</v>
      </c>
      <c r="E1059" t="str">
        <f>IF(tbl_SalAccts[[#This Row],[Value]]=1,"Salary",IF(tbl_SalAccts[[#This Row],[Value]]=2,"Fringe",IF(tbl_SalAccts[[#This Row],[Value]]=3,"Other","")))</f>
        <v>Other</v>
      </c>
    </row>
    <row r="1060" spans="2:5">
      <c r="B1060">
        <v>742219</v>
      </c>
      <c r="C1060" t="s">
        <v>1106</v>
      </c>
      <c r="D1060">
        <v>3</v>
      </c>
      <c r="E1060" t="str">
        <f>IF(tbl_SalAccts[[#This Row],[Value]]=1,"Salary",IF(tbl_SalAccts[[#This Row],[Value]]=2,"Fringe",IF(tbl_SalAccts[[#This Row],[Value]]=3,"Other","")))</f>
        <v>Other</v>
      </c>
    </row>
    <row r="1061" spans="2:5">
      <c r="B1061">
        <v>742220</v>
      </c>
      <c r="C1061" t="s">
        <v>1107</v>
      </c>
      <c r="D1061">
        <v>3</v>
      </c>
      <c r="E1061" t="str">
        <f>IF(tbl_SalAccts[[#This Row],[Value]]=1,"Salary",IF(tbl_SalAccts[[#This Row],[Value]]=2,"Fringe",IF(tbl_SalAccts[[#This Row],[Value]]=3,"Other","")))</f>
        <v>Other</v>
      </c>
    </row>
    <row r="1062" spans="2:5">
      <c r="B1062">
        <v>742221</v>
      </c>
      <c r="C1062" t="s">
        <v>1108</v>
      </c>
      <c r="D1062">
        <v>3</v>
      </c>
      <c r="E1062" t="str">
        <f>IF(tbl_SalAccts[[#This Row],[Value]]=1,"Salary",IF(tbl_SalAccts[[#This Row],[Value]]=2,"Fringe",IF(tbl_SalAccts[[#This Row],[Value]]=3,"Other","")))</f>
        <v>Other</v>
      </c>
    </row>
    <row r="1063" spans="2:5">
      <c r="B1063">
        <v>742222</v>
      </c>
      <c r="C1063" t="s">
        <v>1109</v>
      </c>
      <c r="D1063">
        <v>3</v>
      </c>
      <c r="E1063" t="str">
        <f>IF(tbl_SalAccts[[#This Row],[Value]]=1,"Salary",IF(tbl_SalAccts[[#This Row],[Value]]=2,"Fringe",IF(tbl_SalAccts[[#This Row],[Value]]=3,"Other","")))</f>
        <v>Other</v>
      </c>
    </row>
    <row r="1064" spans="2:5">
      <c r="B1064">
        <v>742223</v>
      </c>
      <c r="C1064" t="s">
        <v>1110</v>
      </c>
      <c r="D1064">
        <v>3</v>
      </c>
      <c r="E1064" t="str">
        <f>IF(tbl_SalAccts[[#This Row],[Value]]=1,"Salary",IF(tbl_SalAccts[[#This Row],[Value]]=2,"Fringe",IF(tbl_SalAccts[[#This Row],[Value]]=3,"Other","")))</f>
        <v>Other</v>
      </c>
    </row>
    <row r="1065" spans="2:5">
      <c r="B1065">
        <v>742225</v>
      </c>
      <c r="C1065" t="s">
        <v>1111</v>
      </c>
      <c r="D1065">
        <v>3</v>
      </c>
      <c r="E1065" t="str">
        <f>IF(tbl_SalAccts[[#This Row],[Value]]=1,"Salary",IF(tbl_SalAccts[[#This Row],[Value]]=2,"Fringe",IF(tbl_SalAccts[[#This Row],[Value]]=3,"Other","")))</f>
        <v>Other</v>
      </c>
    </row>
    <row r="1066" spans="2:5">
      <c r="B1066">
        <v>742230</v>
      </c>
      <c r="C1066" t="s">
        <v>1112</v>
      </c>
      <c r="D1066">
        <v>3</v>
      </c>
      <c r="E1066" t="str">
        <f>IF(tbl_SalAccts[[#This Row],[Value]]=1,"Salary",IF(tbl_SalAccts[[#This Row],[Value]]=2,"Fringe",IF(tbl_SalAccts[[#This Row],[Value]]=3,"Other","")))</f>
        <v>Other</v>
      </c>
    </row>
    <row r="1067" spans="2:5">
      <c r="B1067">
        <v>742240</v>
      </c>
      <c r="C1067" t="s">
        <v>1113</v>
      </c>
      <c r="D1067">
        <v>3</v>
      </c>
      <c r="E1067" t="str">
        <f>IF(tbl_SalAccts[[#This Row],[Value]]=1,"Salary",IF(tbl_SalAccts[[#This Row],[Value]]=2,"Fringe",IF(tbl_SalAccts[[#This Row],[Value]]=3,"Other","")))</f>
        <v>Other</v>
      </c>
    </row>
    <row r="1068" spans="2:5">
      <c r="B1068">
        <v>742290</v>
      </c>
      <c r="C1068" t="s">
        <v>1114</v>
      </c>
      <c r="D1068">
        <v>3</v>
      </c>
      <c r="E1068" t="str">
        <f>IF(tbl_SalAccts[[#This Row],[Value]]=1,"Salary",IF(tbl_SalAccts[[#This Row],[Value]]=2,"Fringe",IF(tbl_SalAccts[[#This Row],[Value]]=3,"Other","")))</f>
        <v>Other</v>
      </c>
    </row>
    <row r="1069" spans="2:5">
      <c r="B1069">
        <v>743010</v>
      </c>
      <c r="C1069" t="s">
        <v>1115</v>
      </c>
      <c r="D1069">
        <v>3</v>
      </c>
      <c r="E1069" t="str">
        <f>IF(tbl_SalAccts[[#This Row],[Value]]=1,"Salary",IF(tbl_SalAccts[[#This Row],[Value]]=2,"Fringe",IF(tbl_SalAccts[[#This Row],[Value]]=3,"Other","")))</f>
        <v>Other</v>
      </c>
    </row>
    <row r="1070" spans="2:5">
      <c r="B1070">
        <v>743011</v>
      </c>
      <c r="C1070" t="s">
        <v>1116</v>
      </c>
      <c r="D1070">
        <v>3</v>
      </c>
      <c r="E1070" t="str">
        <f>IF(tbl_SalAccts[[#This Row],[Value]]=1,"Salary",IF(tbl_SalAccts[[#This Row],[Value]]=2,"Fringe",IF(tbl_SalAccts[[#This Row],[Value]]=3,"Other","")))</f>
        <v>Other</v>
      </c>
    </row>
    <row r="1071" spans="2:5">
      <c r="B1071">
        <v>743012</v>
      </c>
      <c r="C1071" t="s">
        <v>1117</v>
      </c>
      <c r="D1071">
        <v>3</v>
      </c>
      <c r="E1071" t="str">
        <f>IF(tbl_SalAccts[[#This Row],[Value]]=1,"Salary",IF(tbl_SalAccts[[#This Row],[Value]]=2,"Fringe",IF(tbl_SalAccts[[#This Row],[Value]]=3,"Other","")))</f>
        <v>Other</v>
      </c>
    </row>
    <row r="1072" spans="2:5">
      <c r="B1072">
        <v>743014</v>
      </c>
      <c r="C1072" t="s">
        <v>1118</v>
      </c>
      <c r="D1072">
        <v>3</v>
      </c>
      <c r="E1072" t="str">
        <f>IF(tbl_SalAccts[[#This Row],[Value]]=1,"Salary",IF(tbl_SalAccts[[#This Row],[Value]]=2,"Fringe",IF(tbl_SalAccts[[#This Row],[Value]]=3,"Other","")))</f>
        <v>Other</v>
      </c>
    </row>
    <row r="1073" spans="2:5">
      <c r="B1073">
        <v>743015</v>
      </c>
      <c r="C1073" t="s">
        <v>1119</v>
      </c>
      <c r="D1073">
        <v>3</v>
      </c>
      <c r="E1073" t="str">
        <f>IF(tbl_SalAccts[[#This Row],[Value]]=1,"Salary",IF(tbl_SalAccts[[#This Row],[Value]]=2,"Fringe",IF(tbl_SalAccts[[#This Row],[Value]]=3,"Other","")))</f>
        <v>Other</v>
      </c>
    </row>
    <row r="1074" spans="2:5">
      <c r="B1074">
        <v>743016</v>
      </c>
      <c r="C1074" t="s">
        <v>1120</v>
      </c>
      <c r="D1074">
        <v>3</v>
      </c>
      <c r="E1074" t="str">
        <f>IF(tbl_SalAccts[[#This Row],[Value]]=1,"Salary",IF(tbl_SalAccts[[#This Row],[Value]]=2,"Fringe",IF(tbl_SalAccts[[#This Row],[Value]]=3,"Other","")))</f>
        <v>Other</v>
      </c>
    </row>
    <row r="1075" spans="2:5">
      <c r="B1075">
        <v>743017</v>
      </c>
      <c r="C1075" t="s">
        <v>1121</v>
      </c>
      <c r="D1075">
        <v>3</v>
      </c>
      <c r="E1075" t="str">
        <f>IF(tbl_SalAccts[[#This Row],[Value]]=1,"Salary",IF(tbl_SalAccts[[#This Row],[Value]]=2,"Fringe",IF(tbl_SalAccts[[#This Row],[Value]]=3,"Other","")))</f>
        <v>Other</v>
      </c>
    </row>
    <row r="1076" spans="2:5">
      <c r="B1076">
        <v>743018</v>
      </c>
      <c r="C1076" t="s">
        <v>1122</v>
      </c>
      <c r="D1076">
        <v>3</v>
      </c>
      <c r="E1076" t="str">
        <f>IF(tbl_SalAccts[[#This Row],[Value]]=1,"Salary",IF(tbl_SalAccts[[#This Row],[Value]]=2,"Fringe",IF(tbl_SalAccts[[#This Row],[Value]]=3,"Other","")))</f>
        <v>Other</v>
      </c>
    </row>
    <row r="1077" spans="2:5">
      <c r="B1077">
        <v>743019</v>
      </c>
      <c r="C1077" t="s">
        <v>1123</v>
      </c>
      <c r="D1077">
        <v>3</v>
      </c>
      <c r="E1077" t="str">
        <f>IF(tbl_SalAccts[[#This Row],[Value]]=1,"Salary",IF(tbl_SalAccts[[#This Row],[Value]]=2,"Fringe",IF(tbl_SalAccts[[#This Row],[Value]]=3,"Other","")))</f>
        <v>Other</v>
      </c>
    </row>
    <row r="1078" spans="2:5">
      <c r="B1078">
        <v>743020</v>
      </c>
      <c r="C1078" t="s">
        <v>1124</v>
      </c>
      <c r="D1078">
        <v>3</v>
      </c>
      <c r="E1078" t="str">
        <f>IF(tbl_SalAccts[[#This Row],[Value]]=1,"Salary",IF(tbl_SalAccts[[#This Row],[Value]]=2,"Fringe",IF(tbl_SalAccts[[#This Row],[Value]]=3,"Other","")))</f>
        <v>Other</v>
      </c>
    </row>
    <row r="1079" spans="2:5">
      <c r="B1079">
        <v>743021</v>
      </c>
      <c r="C1079" t="s">
        <v>1125</v>
      </c>
      <c r="D1079">
        <v>3</v>
      </c>
      <c r="E1079" t="str">
        <f>IF(tbl_SalAccts[[#This Row],[Value]]=1,"Salary",IF(tbl_SalAccts[[#This Row],[Value]]=2,"Fringe",IF(tbl_SalAccts[[#This Row],[Value]]=3,"Other","")))</f>
        <v>Other</v>
      </c>
    </row>
    <row r="1080" spans="2:5">
      <c r="B1080">
        <v>743022</v>
      </c>
      <c r="C1080" t="s">
        <v>1126</v>
      </c>
      <c r="D1080">
        <v>3</v>
      </c>
      <c r="E1080" t="str">
        <f>IF(tbl_SalAccts[[#This Row],[Value]]=1,"Salary",IF(tbl_SalAccts[[#This Row],[Value]]=2,"Fringe",IF(tbl_SalAccts[[#This Row],[Value]]=3,"Other","")))</f>
        <v>Other</v>
      </c>
    </row>
    <row r="1081" spans="2:5">
      <c r="B1081">
        <v>743023</v>
      </c>
      <c r="C1081" t="s">
        <v>1127</v>
      </c>
      <c r="D1081">
        <v>3</v>
      </c>
      <c r="E1081" t="str">
        <f>IF(tbl_SalAccts[[#This Row],[Value]]=1,"Salary",IF(tbl_SalAccts[[#This Row],[Value]]=2,"Fringe",IF(tbl_SalAccts[[#This Row],[Value]]=3,"Other","")))</f>
        <v>Other</v>
      </c>
    </row>
    <row r="1082" spans="2:5">
      <c r="B1082">
        <v>743024</v>
      </c>
      <c r="C1082" t="s">
        <v>1128</v>
      </c>
      <c r="D1082">
        <v>3</v>
      </c>
      <c r="E1082" t="str">
        <f>IF(tbl_SalAccts[[#This Row],[Value]]=1,"Salary",IF(tbl_SalAccts[[#This Row],[Value]]=2,"Fringe",IF(tbl_SalAccts[[#This Row],[Value]]=3,"Other","")))</f>
        <v>Other</v>
      </c>
    </row>
    <row r="1083" spans="2:5">
      <c r="B1083">
        <v>743025</v>
      </c>
      <c r="C1083" t="s">
        <v>1129</v>
      </c>
      <c r="D1083">
        <v>3</v>
      </c>
      <c r="E1083" t="str">
        <f>IF(tbl_SalAccts[[#This Row],[Value]]=1,"Salary",IF(tbl_SalAccts[[#This Row],[Value]]=2,"Fringe",IF(tbl_SalAccts[[#This Row],[Value]]=3,"Other","")))</f>
        <v>Other</v>
      </c>
    </row>
    <row r="1084" spans="2:5">
      <c r="B1084">
        <v>743026</v>
      </c>
      <c r="C1084" t="s">
        <v>1130</v>
      </c>
      <c r="D1084">
        <v>3</v>
      </c>
      <c r="E1084" t="str">
        <f>IF(tbl_SalAccts[[#This Row],[Value]]=1,"Salary",IF(tbl_SalAccts[[#This Row],[Value]]=2,"Fringe",IF(tbl_SalAccts[[#This Row],[Value]]=3,"Other","")))</f>
        <v>Other</v>
      </c>
    </row>
    <row r="1085" spans="2:5">
      <c r="B1085">
        <v>743027</v>
      </c>
      <c r="C1085" t="s">
        <v>1131</v>
      </c>
      <c r="D1085">
        <v>3</v>
      </c>
      <c r="E1085" t="str">
        <f>IF(tbl_SalAccts[[#This Row],[Value]]=1,"Salary",IF(tbl_SalAccts[[#This Row],[Value]]=2,"Fringe",IF(tbl_SalAccts[[#This Row],[Value]]=3,"Other","")))</f>
        <v>Other</v>
      </c>
    </row>
    <row r="1086" spans="2:5">
      <c r="B1086">
        <v>743028</v>
      </c>
      <c r="C1086" t="s">
        <v>1132</v>
      </c>
      <c r="D1086">
        <v>3</v>
      </c>
      <c r="E1086" t="str">
        <f>IF(tbl_SalAccts[[#This Row],[Value]]=1,"Salary",IF(tbl_SalAccts[[#This Row],[Value]]=2,"Fringe",IF(tbl_SalAccts[[#This Row],[Value]]=3,"Other","")))</f>
        <v>Other</v>
      </c>
    </row>
    <row r="1087" spans="2:5">
      <c r="B1087">
        <v>743029</v>
      </c>
      <c r="C1087" t="s">
        <v>1133</v>
      </c>
      <c r="D1087">
        <v>3</v>
      </c>
      <c r="E1087" t="str">
        <f>IF(tbl_SalAccts[[#This Row],[Value]]=1,"Salary",IF(tbl_SalAccts[[#This Row],[Value]]=2,"Fringe",IF(tbl_SalAccts[[#This Row],[Value]]=3,"Other","")))</f>
        <v>Other</v>
      </c>
    </row>
    <row r="1088" spans="2:5">
      <c r="B1088">
        <v>743030</v>
      </c>
      <c r="C1088" t="s">
        <v>1134</v>
      </c>
      <c r="D1088">
        <v>3</v>
      </c>
      <c r="E1088" t="str">
        <f>IF(tbl_SalAccts[[#This Row],[Value]]=1,"Salary",IF(tbl_SalAccts[[#This Row],[Value]]=2,"Fringe",IF(tbl_SalAccts[[#This Row],[Value]]=3,"Other","")))</f>
        <v>Other</v>
      </c>
    </row>
    <row r="1089" spans="2:5">
      <c r="B1089">
        <v>743031</v>
      </c>
      <c r="C1089" t="s">
        <v>1135</v>
      </c>
      <c r="D1089">
        <v>3</v>
      </c>
      <c r="E1089" t="str">
        <f>IF(tbl_SalAccts[[#This Row],[Value]]=1,"Salary",IF(tbl_SalAccts[[#This Row],[Value]]=2,"Fringe",IF(tbl_SalAccts[[#This Row],[Value]]=3,"Other","")))</f>
        <v>Other</v>
      </c>
    </row>
    <row r="1090" spans="2:5">
      <c r="B1090">
        <v>743032</v>
      </c>
      <c r="C1090" t="s">
        <v>1136</v>
      </c>
      <c r="D1090">
        <v>3</v>
      </c>
      <c r="E1090" t="str">
        <f>IF(tbl_SalAccts[[#This Row],[Value]]=1,"Salary",IF(tbl_SalAccts[[#This Row],[Value]]=2,"Fringe",IF(tbl_SalAccts[[#This Row],[Value]]=3,"Other","")))</f>
        <v>Other</v>
      </c>
    </row>
    <row r="1091" spans="2:5">
      <c r="B1091">
        <v>743033</v>
      </c>
      <c r="C1091" t="s">
        <v>1137</v>
      </c>
      <c r="D1091">
        <v>3</v>
      </c>
      <c r="E1091" t="str">
        <f>IF(tbl_SalAccts[[#This Row],[Value]]=1,"Salary",IF(tbl_SalAccts[[#This Row],[Value]]=2,"Fringe",IF(tbl_SalAccts[[#This Row],[Value]]=3,"Other","")))</f>
        <v>Other</v>
      </c>
    </row>
    <row r="1092" spans="2:5">
      <c r="B1092">
        <v>743034</v>
      </c>
      <c r="C1092" t="s">
        <v>1138</v>
      </c>
      <c r="D1092">
        <v>3</v>
      </c>
      <c r="E1092" t="str">
        <f>IF(tbl_SalAccts[[#This Row],[Value]]=1,"Salary",IF(tbl_SalAccts[[#This Row],[Value]]=2,"Fringe",IF(tbl_SalAccts[[#This Row],[Value]]=3,"Other","")))</f>
        <v>Other</v>
      </c>
    </row>
    <row r="1093" spans="2:5">
      <c r="B1093">
        <v>743035</v>
      </c>
      <c r="C1093" t="s">
        <v>1139</v>
      </c>
      <c r="D1093">
        <v>3</v>
      </c>
      <c r="E1093" t="str">
        <f>IF(tbl_SalAccts[[#This Row],[Value]]=1,"Salary",IF(tbl_SalAccts[[#This Row],[Value]]=2,"Fringe",IF(tbl_SalAccts[[#This Row],[Value]]=3,"Other","")))</f>
        <v>Other</v>
      </c>
    </row>
    <row r="1094" spans="2:5">
      <c r="B1094">
        <v>743036</v>
      </c>
      <c r="C1094" t="s">
        <v>1140</v>
      </c>
      <c r="D1094">
        <v>3</v>
      </c>
      <c r="E1094" t="str">
        <f>IF(tbl_SalAccts[[#This Row],[Value]]=1,"Salary",IF(tbl_SalAccts[[#This Row],[Value]]=2,"Fringe",IF(tbl_SalAccts[[#This Row],[Value]]=3,"Other","")))</f>
        <v>Other</v>
      </c>
    </row>
    <row r="1095" spans="2:5">
      <c r="B1095">
        <v>743101</v>
      </c>
      <c r="C1095" t="s">
        <v>1141</v>
      </c>
      <c r="D1095">
        <v>3</v>
      </c>
      <c r="E1095" t="str">
        <f>IF(tbl_SalAccts[[#This Row],[Value]]=1,"Salary",IF(tbl_SalAccts[[#This Row],[Value]]=2,"Fringe",IF(tbl_SalAccts[[#This Row],[Value]]=3,"Other","")))</f>
        <v>Other</v>
      </c>
    </row>
    <row r="1096" spans="2:5">
      <c r="B1096">
        <v>743105</v>
      </c>
      <c r="C1096" t="s">
        <v>1142</v>
      </c>
      <c r="D1096">
        <v>3</v>
      </c>
      <c r="E1096" t="str">
        <f>IF(tbl_SalAccts[[#This Row],[Value]]=1,"Salary",IF(tbl_SalAccts[[#This Row],[Value]]=2,"Fringe",IF(tbl_SalAccts[[#This Row],[Value]]=3,"Other","")))</f>
        <v>Other</v>
      </c>
    </row>
    <row r="1097" spans="2:5">
      <c r="B1097">
        <v>749999</v>
      </c>
      <c r="C1097" t="s">
        <v>1143</v>
      </c>
      <c r="D1097">
        <v>3</v>
      </c>
      <c r="E1097" t="str">
        <f>IF(tbl_SalAccts[[#This Row],[Value]]=1,"Salary",IF(tbl_SalAccts[[#This Row],[Value]]=2,"Fringe",IF(tbl_SalAccts[[#This Row],[Value]]=3,"Other","")))</f>
        <v>Other</v>
      </c>
    </row>
    <row r="1098" spans="2:5">
      <c r="B1098">
        <v>760000</v>
      </c>
      <c r="C1098" t="s">
        <v>1144</v>
      </c>
      <c r="D1098">
        <v>3</v>
      </c>
      <c r="E1098" t="str">
        <f>IF(tbl_SalAccts[[#This Row],[Value]]=1,"Salary",IF(tbl_SalAccts[[#This Row],[Value]]=2,"Fringe",IF(tbl_SalAccts[[#This Row],[Value]]=3,"Other","")))</f>
        <v>Other</v>
      </c>
    </row>
    <row r="1099" spans="2:5">
      <c r="B1099">
        <v>760101</v>
      </c>
      <c r="C1099" t="s">
        <v>1145</v>
      </c>
      <c r="D1099">
        <v>3</v>
      </c>
      <c r="E1099" t="str">
        <f>IF(tbl_SalAccts[[#This Row],[Value]]=1,"Salary",IF(tbl_SalAccts[[#This Row],[Value]]=2,"Fringe",IF(tbl_SalAccts[[#This Row],[Value]]=3,"Other","")))</f>
        <v>Other</v>
      </c>
    </row>
    <row r="1100" spans="2:5">
      <c r="B1100">
        <v>760201</v>
      </c>
      <c r="C1100" t="s">
        <v>1146</v>
      </c>
      <c r="D1100">
        <v>3</v>
      </c>
      <c r="E1100" t="str">
        <f>IF(tbl_SalAccts[[#This Row],[Value]]=1,"Salary",IF(tbl_SalAccts[[#This Row],[Value]]=2,"Fringe",IF(tbl_SalAccts[[#This Row],[Value]]=3,"Other","")))</f>
        <v>Other</v>
      </c>
    </row>
    <row r="1101" spans="2:5">
      <c r="B1101">
        <v>760210</v>
      </c>
      <c r="C1101" t="s">
        <v>1147</v>
      </c>
      <c r="D1101">
        <v>3</v>
      </c>
      <c r="E1101" t="str">
        <f>IF(tbl_SalAccts[[#This Row],[Value]]=1,"Salary",IF(tbl_SalAccts[[#This Row],[Value]]=2,"Fringe",IF(tbl_SalAccts[[#This Row],[Value]]=3,"Other","")))</f>
        <v>Other</v>
      </c>
    </row>
    <row r="1102" spans="2:5">
      <c r="B1102">
        <v>760301</v>
      </c>
      <c r="C1102" t="s">
        <v>1148</v>
      </c>
      <c r="D1102">
        <v>3</v>
      </c>
      <c r="E1102" t="str">
        <f>IF(tbl_SalAccts[[#This Row],[Value]]=1,"Salary",IF(tbl_SalAccts[[#This Row],[Value]]=2,"Fringe",IF(tbl_SalAccts[[#This Row],[Value]]=3,"Other","")))</f>
        <v>Other</v>
      </c>
    </row>
    <row r="1103" spans="2:5">
      <c r="B1103">
        <v>760310</v>
      </c>
      <c r="C1103" t="s">
        <v>1149</v>
      </c>
      <c r="D1103">
        <v>3</v>
      </c>
      <c r="E1103" t="str">
        <f>IF(tbl_SalAccts[[#This Row],[Value]]=1,"Salary",IF(tbl_SalAccts[[#This Row],[Value]]=2,"Fringe",IF(tbl_SalAccts[[#This Row],[Value]]=3,"Other","")))</f>
        <v>Other</v>
      </c>
    </row>
    <row r="1104" spans="2:5">
      <c r="B1104">
        <v>760311</v>
      </c>
      <c r="C1104" t="s">
        <v>1150</v>
      </c>
      <c r="D1104">
        <v>3</v>
      </c>
      <c r="E1104" t="str">
        <f>IF(tbl_SalAccts[[#This Row],[Value]]=1,"Salary",IF(tbl_SalAccts[[#This Row],[Value]]=2,"Fringe",IF(tbl_SalAccts[[#This Row],[Value]]=3,"Other","")))</f>
        <v>Other</v>
      </c>
    </row>
    <row r="1105" spans="2:5">
      <c r="B1105">
        <v>760331</v>
      </c>
      <c r="C1105" t="s">
        <v>1151</v>
      </c>
      <c r="D1105">
        <v>3</v>
      </c>
      <c r="E1105" t="str">
        <f>IF(tbl_SalAccts[[#This Row],[Value]]=1,"Salary",IF(tbl_SalAccts[[#This Row],[Value]]=2,"Fringe",IF(tbl_SalAccts[[#This Row],[Value]]=3,"Other","")))</f>
        <v>Other</v>
      </c>
    </row>
    <row r="1106" spans="2:5">
      <c r="B1106">
        <v>760361</v>
      </c>
      <c r="C1106" t="s">
        <v>1152</v>
      </c>
      <c r="D1106">
        <v>3</v>
      </c>
      <c r="E1106" t="str">
        <f>IF(tbl_SalAccts[[#This Row],[Value]]=1,"Salary",IF(tbl_SalAccts[[#This Row],[Value]]=2,"Fringe",IF(tbl_SalAccts[[#This Row],[Value]]=3,"Other","")))</f>
        <v>Other</v>
      </c>
    </row>
    <row r="1107" spans="2:5">
      <c r="B1107">
        <v>760601</v>
      </c>
      <c r="C1107" t="s">
        <v>1153</v>
      </c>
      <c r="D1107">
        <v>3</v>
      </c>
      <c r="E1107" t="str">
        <f>IF(tbl_SalAccts[[#This Row],[Value]]=1,"Salary",IF(tbl_SalAccts[[#This Row],[Value]]=2,"Fringe",IF(tbl_SalAccts[[#This Row],[Value]]=3,"Other","")))</f>
        <v>Other</v>
      </c>
    </row>
    <row r="1108" spans="2:5">
      <c r="B1108">
        <v>760621</v>
      </c>
      <c r="C1108" t="s">
        <v>1154</v>
      </c>
      <c r="D1108">
        <v>3</v>
      </c>
      <c r="E1108" t="str">
        <f>IF(tbl_SalAccts[[#This Row],[Value]]=1,"Salary",IF(tbl_SalAccts[[#This Row],[Value]]=2,"Fringe",IF(tbl_SalAccts[[#This Row],[Value]]=3,"Other","")))</f>
        <v>Other</v>
      </c>
    </row>
    <row r="1109" spans="2:5">
      <c r="B1109">
        <v>760651</v>
      </c>
      <c r="C1109" t="s">
        <v>1155</v>
      </c>
      <c r="D1109">
        <v>3</v>
      </c>
      <c r="E1109" t="str">
        <f>IF(tbl_SalAccts[[#This Row],[Value]]=1,"Salary",IF(tbl_SalAccts[[#This Row],[Value]]=2,"Fringe",IF(tbl_SalAccts[[#This Row],[Value]]=3,"Other","")))</f>
        <v>Other</v>
      </c>
    </row>
    <row r="1110" spans="2:5">
      <c r="B1110">
        <v>760701</v>
      </c>
      <c r="C1110" t="s">
        <v>1156</v>
      </c>
      <c r="D1110">
        <v>3</v>
      </c>
      <c r="E1110" t="str">
        <f>IF(tbl_SalAccts[[#This Row],[Value]]=1,"Salary",IF(tbl_SalAccts[[#This Row],[Value]]=2,"Fringe",IF(tbl_SalAccts[[#This Row],[Value]]=3,"Other","")))</f>
        <v>Other</v>
      </c>
    </row>
    <row r="1111" spans="2:5">
      <c r="B1111">
        <v>760801</v>
      </c>
      <c r="C1111" t="s">
        <v>1157</v>
      </c>
      <c r="D1111">
        <v>3</v>
      </c>
      <c r="E1111" t="str">
        <f>IF(tbl_SalAccts[[#This Row],[Value]]=1,"Salary",IF(tbl_SalAccts[[#This Row],[Value]]=2,"Fringe",IF(tbl_SalAccts[[#This Row],[Value]]=3,"Other","")))</f>
        <v>Other</v>
      </c>
    </row>
    <row r="1112" spans="2:5">
      <c r="B1112">
        <v>760901</v>
      </c>
      <c r="C1112" t="s">
        <v>1158</v>
      </c>
      <c r="D1112">
        <v>3</v>
      </c>
      <c r="E1112" t="str">
        <f>IF(tbl_SalAccts[[#This Row],[Value]]=1,"Salary",IF(tbl_SalAccts[[#This Row],[Value]]=2,"Fringe",IF(tbl_SalAccts[[#This Row],[Value]]=3,"Other","")))</f>
        <v>Other</v>
      </c>
    </row>
    <row r="1113" spans="2:5">
      <c r="B1113">
        <v>760902</v>
      </c>
      <c r="C1113" t="s">
        <v>1159</v>
      </c>
      <c r="D1113">
        <v>3</v>
      </c>
      <c r="E1113" t="str">
        <f>IF(tbl_SalAccts[[#This Row],[Value]]=1,"Salary",IF(tbl_SalAccts[[#This Row],[Value]]=2,"Fringe",IF(tbl_SalAccts[[#This Row],[Value]]=3,"Other","")))</f>
        <v>Other</v>
      </c>
    </row>
    <row r="1114" spans="2:5">
      <c r="B1114">
        <v>761001</v>
      </c>
      <c r="C1114" t="s">
        <v>1160</v>
      </c>
      <c r="D1114">
        <v>3</v>
      </c>
      <c r="E1114" t="str">
        <f>IF(tbl_SalAccts[[#This Row],[Value]]=1,"Salary",IF(tbl_SalAccts[[#This Row],[Value]]=2,"Fringe",IF(tbl_SalAccts[[#This Row],[Value]]=3,"Other","")))</f>
        <v>Other</v>
      </c>
    </row>
    <row r="1115" spans="2:5">
      <c r="B1115">
        <v>761201</v>
      </c>
      <c r="C1115" t="s">
        <v>267</v>
      </c>
      <c r="D1115">
        <v>3</v>
      </c>
      <c r="E1115" t="str">
        <f>IF(tbl_SalAccts[[#This Row],[Value]]=1,"Salary",IF(tbl_SalAccts[[#This Row],[Value]]=2,"Fringe",IF(tbl_SalAccts[[#This Row],[Value]]=3,"Other","")))</f>
        <v>Other</v>
      </c>
    </row>
    <row r="1116" spans="2:5">
      <c r="B1116">
        <v>761301</v>
      </c>
      <c r="C1116" t="s">
        <v>1161</v>
      </c>
      <c r="D1116">
        <v>3</v>
      </c>
      <c r="E1116" t="str">
        <f>IF(tbl_SalAccts[[#This Row],[Value]]=1,"Salary",IF(tbl_SalAccts[[#This Row],[Value]]=2,"Fringe",IF(tbl_SalAccts[[#This Row],[Value]]=3,"Other","")))</f>
        <v>Other</v>
      </c>
    </row>
    <row r="1117" spans="2:5">
      <c r="B1117">
        <v>761401</v>
      </c>
      <c r="C1117" t="s">
        <v>1162</v>
      </c>
      <c r="D1117">
        <v>3</v>
      </c>
      <c r="E1117" t="str">
        <f>IF(tbl_SalAccts[[#This Row],[Value]]=1,"Salary",IF(tbl_SalAccts[[#This Row],[Value]]=2,"Fringe",IF(tbl_SalAccts[[#This Row],[Value]]=3,"Other","")))</f>
        <v>Other</v>
      </c>
    </row>
    <row r="1118" spans="2:5">
      <c r="B1118">
        <v>761501</v>
      </c>
      <c r="C1118" t="s">
        <v>1163</v>
      </c>
      <c r="D1118">
        <v>3</v>
      </c>
      <c r="E1118" t="str">
        <f>IF(tbl_SalAccts[[#This Row],[Value]]=1,"Salary",IF(tbl_SalAccts[[#This Row],[Value]]=2,"Fringe",IF(tbl_SalAccts[[#This Row],[Value]]=3,"Other","")))</f>
        <v>Other</v>
      </c>
    </row>
    <row r="1119" spans="2:5">
      <c r="B1119">
        <v>761502</v>
      </c>
      <c r="C1119" t="s">
        <v>1164</v>
      </c>
      <c r="D1119">
        <v>3</v>
      </c>
      <c r="E1119" t="str">
        <f>IF(tbl_SalAccts[[#This Row],[Value]]=1,"Salary",IF(tbl_SalAccts[[#This Row],[Value]]=2,"Fringe",IF(tbl_SalAccts[[#This Row],[Value]]=3,"Other","")))</f>
        <v>Other</v>
      </c>
    </row>
    <row r="1120" spans="2:5">
      <c r="B1120">
        <v>761503</v>
      </c>
      <c r="C1120" t="s">
        <v>1165</v>
      </c>
      <c r="D1120">
        <v>3</v>
      </c>
      <c r="E1120" t="str">
        <f>IF(tbl_SalAccts[[#This Row],[Value]]=1,"Salary",IF(tbl_SalAccts[[#This Row],[Value]]=2,"Fringe",IF(tbl_SalAccts[[#This Row],[Value]]=3,"Other","")))</f>
        <v>Other</v>
      </c>
    </row>
    <row r="1121" spans="2:5">
      <c r="B1121">
        <v>761601</v>
      </c>
      <c r="C1121" t="s">
        <v>1166</v>
      </c>
      <c r="D1121">
        <v>3</v>
      </c>
      <c r="E1121" t="str">
        <f>IF(tbl_SalAccts[[#This Row],[Value]]=1,"Salary",IF(tbl_SalAccts[[#This Row],[Value]]=2,"Fringe",IF(tbl_SalAccts[[#This Row],[Value]]=3,"Other","")))</f>
        <v>Other</v>
      </c>
    </row>
    <row r="1122" spans="2:5">
      <c r="B1122">
        <v>761602</v>
      </c>
      <c r="C1122" t="s">
        <v>1167</v>
      </c>
      <c r="D1122">
        <v>3</v>
      </c>
      <c r="E1122" t="str">
        <f>IF(tbl_SalAccts[[#This Row],[Value]]=1,"Salary",IF(tbl_SalAccts[[#This Row],[Value]]=2,"Fringe",IF(tbl_SalAccts[[#This Row],[Value]]=3,"Other","")))</f>
        <v>Other</v>
      </c>
    </row>
    <row r="1123" spans="2:5">
      <c r="B1123">
        <v>761603</v>
      </c>
      <c r="C1123" t="s">
        <v>1168</v>
      </c>
      <c r="D1123">
        <v>3</v>
      </c>
      <c r="E1123" t="str">
        <f>IF(tbl_SalAccts[[#This Row],[Value]]=1,"Salary",IF(tbl_SalAccts[[#This Row],[Value]]=2,"Fringe",IF(tbl_SalAccts[[#This Row],[Value]]=3,"Other","")))</f>
        <v>Other</v>
      </c>
    </row>
    <row r="1124" spans="2:5">
      <c r="B1124">
        <v>761604</v>
      </c>
      <c r="C1124" t="s">
        <v>1169</v>
      </c>
      <c r="D1124">
        <v>3</v>
      </c>
      <c r="E1124" t="str">
        <f>IF(tbl_SalAccts[[#This Row],[Value]]=1,"Salary",IF(tbl_SalAccts[[#This Row],[Value]]=2,"Fringe",IF(tbl_SalAccts[[#This Row],[Value]]=3,"Other","")))</f>
        <v>Other</v>
      </c>
    </row>
    <row r="1125" spans="2:5">
      <c r="B1125">
        <v>761605</v>
      </c>
      <c r="C1125" t="s">
        <v>1170</v>
      </c>
      <c r="D1125">
        <v>3</v>
      </c>
      <c r="E1125" t="str">
        <f>IF(tbl_SalAccts[[#This Row],[Value]]=1,"Salary",IF(tbl_SalAccts[[#This Row],[Value]]=2,"Fringe",IF(tbl_SalAccts[[#This Row],[Value]]=3,"Other","")))</f>
        <v>Other</v>
      </c>
    </row>
    <row r="1126" spans="2:5">
      <c r="B1126">
        <v>761606</v>
      </c>
      <c r="C1126" t="s">
        <v>1171</v>
      </c>
      <c r="D1126">
        <v>3</v>
      </c>
      <c r="E1126" t="str">
        <f>IF(tbl_SalAccts[[#This Row],[Value]]=1,"Salary",IF(tbl_SalAccts[[#This Row],[Value]]=2,"Fringe",IF(tbl_SalAccts[[#This Row],[Value]]=3,"Other","")))</f>
        <v>Other</v>
      </c>
    </row>
    <row r="1127" spans="2:5">
      <c r="B1127">
        <v>770000</v>
      </c>
      <c r="C1127" t="s">
        <v>1172</v>
      </c>
      <c r="D1127">
        <v>3</v>
      </c>
      <c r="E1127" t="str">
        <f>IF(tbl_SalAccts[[#This Row],[Value]]=1,"Salary",IF(tbl_SalAccts[[#This Row],[Value]]=2,"Fringe",IF(tbl_SalAccts[[#This Row],[Value]]=3,"Other","")))</f>
        <v>Other</v>
      </c>
    </row>
    <row r="1128" spans="2:5">
      <c r="B1128">
        <v>780000</v>
      </c>
      <c r="C1128" t="s">
        <v>1173</v>
      </c>
      <c r="D1128">
        <v>3</v>
      </c>
      <c r="E1128" t="str">
        <f>IF(tbl_SalAccts[[#This Row],[Value]]=1,"Salary",IF(tbl_SalAccts[[#This Row],[Value]]=2,"Fringe",IF(tbl_SalAccts[[#This Row],[Value]]=3,"Other","")))</f>
        <v>Other</v>
      </c>
    </row>
    <row r="1129" spans="2:5">
      <c r="B1129">
        <v>780001</v>
      </c>
      <c r="C1129" t="s">
        <v>1174</v>
      </c>
      <c r="D1129">
        <v>3</v>
      </c>
      <c r="E1129" t="str">
        <f>IF(tbl_SalAccts[[#This Row],[Value]]=1,"Salary",IF(tbl_SalAccts[[#This Row],[Value]]=2,"Fringe",IF(tbl_SalAccts[[#This Row],[Value]]=3,"Other","")))</f>
        <v>Other</v>
      </c>
    </row>
    <row r="1130" spans="2:5">
      <c r="B1130">
        <v>780010</v>
      </c>
      <c r="C1130" t="s">
        <v>1175</v>
      </c>
      <c r="D1130">
        <v>3</v>
      </c>
      <c r="E1130" t="str">
        <f>IF(tbl_SalAccts[[#This Row],[Value]]=1,"Salary",IF(tbl_SalAccts[[#This Row],[Value]]=2,"Fringe",IF(tbl_SalAccts[[#This Row],[Value]]=3,"Other","")))</f>
        <v>Other</v>
      </c>
    </row>
    <row r="1131" spans="2:5">
      <c r="B1131">
        <v>780011</v>
      </c>
      <c r="C1131" t="s">
        <v>1176</v>
      </c>
      <c r="D1131">
        <v>3</v>
      </c>
      <c r="E1131" t="str">
        <f>IF(tbl_SalAccts[[#This Row],[Value]]=1,"Salary",IF(tbl_SalAccts[[#This Row],[Value]]=2,"Fringe",IF(tbl_SalAccts[[#This Row],[Value]]=3,"Other","")))</f>
        <v>Other</v>
      </c>
    </row>
    <row r="1132" spans="2:5">
      <c r="B1132">
        <v>780012</v>
      </c>
      <c r="C1132" t="s">
        <v>1177</v>
      </c>
      <c r="D1132">
        <v>3</v>
      </c>
      <c r="E1132" t="str">
        <f>IF(tbl_SalAccts[[#This Row],[Value]]=1,"Salary",IF(tbl_SalAccts[[#This Row],[Value]]=2,"Fringe",IF(tbl_SalAccts[[#This Row],[Value]]=3,"Other","")))</f>
        <v>Other</v>
      </c>
    </row>
    <row r="1133" spans="2:5">
      <c r="B1133">
        <v>780013</v>
      </c>
      <c r="C1133" t="s">
        <v>1178</v>
      </c>
      <c r="D1133">
        <v>3</v>
      </c>
      <c r="E1133" t="str">
        <f>IF(tbl_SalAccts[[#This Row],[Value]]=1,"Salary",IF(tbl_SalAccts[[#This Row],[Value]]=2,"Fringe",IF(tbl_SalAccts[[#This Row],[Value]]=3,"Other","")))</f>
        <v>Other</v>
      </c>
    </row>
    <row r="1134" spans="2:5">
      <c r="B1134">
        <v>780100</v>
      </c>
      <c r="C1134" t="s">
        <v>1179</v>
      </c>
      <c r="D1134">
        <v>3</v>
      </c>
      <c r="E1134" t="str">
        <f>IF(tbl_SalAccts[[#This Row],[Value]]=1,"Salary",IF(tbl_SalAccts[[#This Row],[Value]]=2,"Fringe",IF(tbl_SalAccts[[#This Row],[Value]]=3,"Other","")))</f>
        <v>Other</v>
      </c>
    </row>
    <row r="1135" spans="2:5">
      <c r="B1135">
        <v>780101</v>
      </c>
      <c r="C1135" t="s">
        <v>1180</v>
      </c>
      <c r="D1135">
        <v>3</v>
      </c>
      <c r="E1135" t="str">
        <f>IF(tbl_SalAccts[[#This Row],[Value]]=1,"Salary",IF(tbl_SalAccts[[#This Row],[Value]]=2,"Fringe",IF(tbl_SalAccts[[#This Row],[Value]]=3,"Other","")))</f>
        <v>Other</v>
      </c>
    </row>
    <row r="1136" spans="2:5">
      <c r="B1136">
        <v>780102</v>
      </c>
      <c r="C1136" t="s">
        <v>1181</v>
      </c>
      <c r="D1136">
        <v>3</v>
      </c>
      <c r="E1136" t="str">
        <f>IF(tbl_SalAccts[[#This Row],[Value]]=1,"Salary",IF(tbl_SalAccts[[#This Row],[Value]]=2,"Fringe",IF(tbl_SalAccts[[#This Row],[Value]]=3,"Other","")))</f>
        <v>Other</v>
      </c>
    </row>
    <row r="1137" spans="2:5">
      <c r="B1137">
        <v>780103</v>
      </c>
      <c r="C1137" t="s">
        <v>1182</v>
      </c>
      <c r="D1137">
        <v>3</v>
      </c>
      <c r="E1137" t="str">
        <f>IF(tbl_SalAccts[[#This Row],[Value]]=1,"Salary",IF(tbl_SalAccts[[#This Row],[Value]]=2,"Fringe",IF(tbl_SalAccts[[#This Row],[Value]]=3,"Other","")))</f>
        <v>Other</v>
      </c>
    </row>
    <row r="1138" spans="2:5">
      <c r="B1138">
        <v>780104</v>
      </c>
      <c r="C1138" t="s">
        <v>1183</v>
      </c>
      <c r="D1138">
        <v>3</v>
      </c>
      <c r="E1138" t="str">
        <f>IF(tbl_SalAccts[[#This Row],[Value]]=1,"Salary",IF(tbl_SalAccts[[#This Row],[Value]]=2,"Fringe",IF(tbl_SalAccts[[#This Row],[Value]]=3,"Other","")))</f>
        <v>Other</v>
      </c>
    </row>
    <row r="1139" spans="2:5">
      <c r="B1139">
        <v>780110</v>
      </c>
      <c r="C1139" t="s">
        <v>1184</v>
      </c>
      <c r="D1139">
        <v>3</v>
      </c>
      <c r="E1139" t="str">
        <f>IF(tbl_SalAccts[[#This Row],[Value]]=1,"Salary",IF(tbl_SalAccts[[#This Row],[Value]]=2,"Fringe",IF(tbl_SalAccts[[#This Row],[Value]]=3,"Other","")))</f>
        <v>Other</v>
      </c>
    </row>
    <row r="1140" spans="2:5">
      <c r="B1140">
        <v>780111</v>
      </c>
      <c r="C1140" t="s">
        <v>1185</v>
      </c>
      <c r="D1140">
        <v>3</v>
      </c>
      <c r="E1140" t="str">
        <f>IF(tbl_SalAccts[[#This Row],[Value]]=1,"Salary",IF(tbl_SalAccts[[#This Row],[Value]]=2,"Fringe",IF(tbl_SalAccts[[#This Row],[Value]]=3,"Other","")))</f>
        <v>Other</v>
      </c>
    </row>
    <row r="1141" spans="2:5">
      <c r="B1141">
        <v>780112</v>
      </c>
      <c r="C1141" t="s">
        <v>1186</v>
      </c>
      <c r="D1141">
        <v>3</v>
      </c>
      <c r="E1141" t="str">
        <f>IF(tbl_SalAccts[[#This Row],[Value]]=1,"Salary",IF(tbl_SalAccts[[#This Row],[Value]]=2,"Fringe",IF(tbl_SalAccts[[#This Row],[Value]]=3,"Other","")))</f>
        <v>Other</v>
      </c>
    </row>
    <row r="1142" spans="2:5">
      <c r="B1142">
        <v>780131</v>
      </c>
      <c r="C1142" t="s">
        <v>1187</v>
      </c>
      <c r="D1142">
        <v>3</v>
      </c>
      <c r="E1142" t="str">
        <f>IF(tbl_SalAccts[[#This Row],[Value]]=1,"Salary",IF(tbl_SalAccts[[#This Row],[Value]]=2,"Fringe",IF(tbl_SalAccts[[#This Row],[Value]]=3,"Other","")))</f>
        <v>Other</v>
      </c>
    </row>
    <row r="1143" spans="2:5">
      <c r="B1143">
        <v>780140</v>
      </c>
      <c r="C1143" t="s">
        <v>1188</v>
      </c>
      <c r="D1143">
        <v>3</v>
      </c>
      <c r="E1143" t="str">
        <f>IF(tbl_SalAccts[[#This Row],[Value]]=1,"Salary",IF(tbl_SalAccts[[#This Row],[Value]]=2,"Fringe",IF(tbl_SalAccts[[#This Row],[Value]]=3,"Other","")))</f>
        <v>Other</v>
      </c>
    </row>
    <row r="1144" spans="2:5">
      <c r="B1144">
        <v>780150</v>
      </c>
      <c r="C1144" t="s">
        <v>1189</v>
      </c>
      <c r="D1144">
        <v>3</v>
      </c>
      <c r="E1144" t="str">
        <f>IF(tbl_SalAccts[[#This Row],[Value]]=1,"Salary",IF(tbl_SalAccts[[#This Row],[Value]]=2,"Fringe",IF(tbl_SalAccts[[#This Row],[Value]]=3,"Other","")))</f>
        <v>Other</v>
      </c>
    </row>
    <row r="1145" spans="2:5">
      <c r="B1145">
        <v>780160</v>
      </c>
      <c r="C1145" t="s">
        <v>1190</v>
      </c>
      <c r="D1145">
        <v>3</v>
      </c>
      <c r="E1145" t="str">
        <f>IF(tbl_SalAccts[[#This Row],[Value]]=1,"Salary",IF(tbl_SalAccts[[#This Row],[Value]]=2,"Fringe",IF(tbl_SalAccts[[#This Row],[Value]]=3,"Other","")))</f>
        <v>Other</v>
      </c>
    </row>
    <row r="1146" spans="2:5">
      <c r="B1146">
        <v>780161</v>
      </c>
      <c r="C1146" t="s">
        <v>1191</v>
      </c>
      <c r="D1146">
        <v>3</v>
      </c>
      <c r="E1146" t="str">
        <f>IF(tbl_SalAccts[[#This Row],[Value]]=1,"Salary",IF(tbl_SalAccts[[#This Row],[Value]]=2,"Fringe",IF(tbl_SalAccts[[#This Row],[Value]]=3,"Other","")))</f>
        <v>Other</v>
      </c>
    </row>
    <row r="1147" spans="2:5">
      <c r="B1147">
        <v>780170</v>
      </c>
      <c r="C1147" t="s">
        <v>1192</v>
      </c>
      <c r="D1147">
        <v>3</v>
      </c>
      <c r="E1147" t="str">
        <f>IF(tbl_SalAccts[[#This Row],[Value]]=1,"Salary",IF(tbl_SalAccts[[#This Row],[Value]]=2,"Fringe",IF(tbl_SalAccts[[#This Row],[Value]]=3,"Other","")))</f>
        <v>Other</v>
      </c>
    </row>
    <row r="1148" spans="2:5">
      <c r="B1148">
        <v>780171</v>
      </c>
      <c r="C1148" t="s">
        <v>1193</v>
      </c>
      <c r="D1148">
        <v>3</v>
      </c>
      <c r="E1148" t="str">
        <f>IF(tbl_SalAccts[[#This Row],[Value]]=1,"Salary",IF(tbl_SalAccts[[#This Row],[Value]]=2,"Fringe",IF(tbl_SalAccts[[#This Row],[Value]]=3,"Other","")))</f>
        <v>Other</v>
      </c>
    </row>
    <row r="1149" spans="2:5">
      <c r="B1149">
        <v>780200</v>
      </c>
      <c r="C1149" t="s">
        <v>1194</v>
      </c>
      <c r="D1149">
        <v>3</v>
      </c>
      <c r="E1149" t="str">
        <f>IF(tbl_SalAccts[[#This Row],[Value]]=1,"Salary",IF(tbl_SalAccts[[#This Row],[Value]]=2,"Fringe",IF(tbl_SalAccts[[#This Row],[Value]]=3,"Other","")))</f>
        <v>Other</v>
      </c>
    </row>
    <row r="1150" spans="2:5">
      <c r="B1150">
        <v>780201</v>
      </c>
      <c r="C1150" t="s">
        <v>1195</v>
      </c>
      <c r="D1150">
        <v>3</v>
      </c>
      <c r="E1150" t="str">
        <f>IF(tbl_SalAccts[[#This Row],[Value]]=1,"Salary",IF(tbl_SalAccts[[#This Row],[Value]]=2,"Fringe",IF(tbl_SalAccts[[#This Row],[Value]]=3,"Other","")))</f>
        <v>Other</v>
      </c>
    </row>
    <row r="1151" spans="2:5">
      <c r="B1151">
        <v>780300</v>
      </c>
      <c r="C1151" t="s">
        <v>1196</v>
      </c>
      <c r="D1151">
        <v>3</v>
      </c>
      <c r="E1151" t="str">
        <f>IF(tbl_SalAccts[[#This Row],[Value]]=1,"Salary",IF(tbl_SalAccts[[#This Row],[Value]]=2,"Fringe",IF(tbl_SalAccts[[#This Row],[Value]]=3,"Other","")))</f>
        <v>Other</v>
      </c>
    </row>
    <row r="1152" spans="2:5">
      <c r="B1152">
        <v>780301</v>
      </c>
      <c r="C1152" t="s">
        <v>1197</v>
      </c>
      <c r="D1152">
        <v>3</v>
      </c>
      <c r="E1152" t="str">
        <f>IF(tbl_SalAccts[[#This Row],[Value]]=1,"Salary",IF(tbl_SalAccts[[#This Row],[Value]]=2,"Fringe",IF(tbl_SalAccts[[#This Row],[Value]]=3,"Other","")))</f>
        <v>Other</v>
      </c>
    </row>
    <row r="1153" spans="2:5">
      <c r="B1153">
        <v>780303</v>
      </c>
      <c r="C1153" t="s">
        <v>1198</v>
      </c>
      <c r="D1153">
        <v>3</v>
      </c>
      <c r="E1153" t="str">
        <f>IF(tbl_SalAccts[[#This Row],[Value]]=1,"Salary",IF(tbl_SalAccts[[#This Row],[Value]]=2,"Fringe",IF(tbl_SalAccts[[#This Row],[Value]]=3,"Other","")))</f>
        <v>Other</v>
      </c>
    </row>
    <row r="1154" spans="2:5">
      <c r="B1154">
        <v>790000</v>
      </c>
      <c r="C1154" t="s">
        <v>1199</v>
      </c>
      <c r="D1154">
        <v>3</v>
      </c>
      <c r="E1154" t="str">
        <f>IF(tbl_SalAccts[[#This Row],[Value]]=1,"Salary",IF(tbl_SalAccts[[#This Row],[Value]]=2,"Fringe",IF(tbl_SalAccts[[#This Row],[Value]]=3,"Other","")))</f>
        <v>Other</v>
      </c>
    </row>
    <row r="1155" spans="2:5">
      <c r="B1155">
        <v>790001</v>
      </c>
      <c r="C1155" t="s">
        <v>1200</v>
      </c>
      <c r="D1155">
        <v>3</v>
      </c>
      <c r="E1155" t="str">
        <f>IF(tbl_SalAccts[[#This Row],[Value]]=1,"Salary",IF(tbl_SalAccts[[#This Row],[Value]]=2,"Fringe",IF(tbl_SalAccts[[#This Row],[Value]]=3,"Other","")))</f>
        <v>Other</v>
      </c>
    </row>
    <row r="1156" spans="2:5">
      <c r="B1156">
        <v>790002</v>
      </c>
      <c r="C1156" t="s">
        <v>1201</v>
      </c>
      <c r="D1156">
        <v>3</v>
      </c>
      <c r="E1156" t="str">
        <f>IF(tbl_SalAccts[[#This Row],[Value]]=1,"Salary",IF(tbl_SalAccts[[#This Row],[Value]]=2,"Fringe",IF(tbl_SalAccts[[#This Row],[Value]]=3,"Other","")))</f>
        <v>Other</v>
      </c>
    </row>
    <row r="1157" spans="2:5">
      <c r="B1157">
        <v>790012</v>
      </c>
      <c r="C1157" t="s">
        <v>1202</v>
      </c>
      <c r="D1157">
        <v>3</v>
      </c>
      <c r="E1157" t="str">
        <f>IF(tbl_SalAccts[[#This Row],[Value]]=1,"Salary",IF(tbl_SalAccts[[#This Row],[Value]]=2,"Fringe",IF(tbl_SalAccts[[#This Row],[Value]]=3,"Other","")))</f>
        <v>Other</v>
      </c>
    </row>
    <row r="1158" spans="2:5">
      <c r="B1158">
        <v>799997</v>
      </c>
      <c r="C1158" t="s">
        <v>1203</v>
      </c>
      <c r="D1158">
        <v>3</v>
      </c>
      <c r="E1158" t="str">
        <f>IF(tbl_SalAccts[[#This Row],[Value]]=1,"Salary",IF(tbl_SalAccts[[#This Row],[Value]]=2,"Fringe",IF(tbl_SalAccts[[#This Row],[Value]]=3,"Other","")))</f>
        <v>Other</v>
      </c>
    </row>
    <row r="1159" spans="2:5">
      <c r="B1159">
        <v>799998</v>
      </c>
      <c r="C1159" t="s">
        <v>1204</v>
      </c>
      <c r="D1159">
        <v>3</v>
      </c>
      <c r="E1159" t="str">
        <f>IF(tbl_SalAccts[[#This Row],[Value]]=1,"Salary",IF(tbl_SalAccts[[#This Row],[Value]]=2,"Fringe",IF(tbl_SalAccts[[#This Row],[Value]]=3,"Other","")))</f>
        <v>Other</v>
      </c>
    </row>
    <row r="1160" spans="2:5">
      <c r="B1160">
        <v>799999</v>
      </c>
      <c r="C1160" t="s">
        <v>1205</v>
      </c>
      <c r="D1160">
        <v>3</v>
      </c>
      <c r="E1160" t="str">
        <f>IF(tbl_SalAccts[[#This Row],[Value]]=1,"Salary",IF(tbl_SalAccts[[#This Row],[Value]]=2,"Fringe",IF(tbl_SalAccts[[#This Row],[Value]]=3,"Other","")))</f>
        <v>Other</v>
      </c>
    </row>
    <row r="1161" spans="2:5">
      <c r="B1161">
        <v>990000</v>
      </c>
      <c r="C1161" t="s">
        <v>1206</v>
      </c>
      <c r="D1161">
        <v>3</v>
      </c>
      <c r="E1161" t="str">
        <f>IF(tbl_SalAccts[[#This Row],[Value]]=1,"Salary",IF(tbl_SalAccts[[#This Row],[Value]]=2,"Fringe",IF(tbl_SalAccts[[#This Row],[Value]]=3,"Other","")))</f>
        <v>Other</v>
      </c>
    </row>
    <row r="1162" spans="2:5">
      <c r="B1162">
        <v>990003</v>
      </c>
      <c r="C1162" t="s">
        <v>1207</v>
      </c>
      <c r="D1162">
        <v>3</v>
      </c>
      <c r="E1162" t="str">
        <f>IF(tbl_SalAccts[[#This Row],[Value]]=1,"Salary",IF(tbl_SalAccts[[#This Row],[Value]]=2,"Fringe",IF(tbl_SalAccts[[#This Row],[Value]]=3,"Other","")))</f>
        <v>Other</v>
      </c>
    </row>
    <row r="1163" spans="2:5">
      <c r="B1163">
        <v>999994</v>
      </c>
      <c r="C1163" t="s">
        <v>1208</v>
      </c>
      <c r="D1163">
        <v>3</v>
      </c>
      <c r="E1163" t="str">
        <f>IF(tbl_SalAccts[[#This Row],[Value]]=1,"Salary",IF(tbl_SalAccts[[#This Row],[Value]]=2,"Fringe",IF(tbl_SalAccts[[#This Row],[Value]]=3,"Other","")))</f>
        <v>Other</v>
      </c>
    </row>
    <row r="1164" spans="2:5">
      <c r="B1164">
        <v>999995</v>
      </c>
      <c r="C1164" t="s">
        <v>1209</v>
      </c>
      <c r="D1164">
        <v>3</v>
      </c>
      <c r="E1164" t="str">
        <f>IF(tbl_SalAccts[[#This Row],[Value]]=1,"Salary",IF(tbl_SalAccts[[#This Row],[Value]]=2,"Fringe",IF(tbl_SalAccts[[#This Row],[Value]]=3,"Other","")))</f>
        <v>Other</v>
      </c>
    </row>
    <row r="1165" spans="2:5">
      <c r="B1165">
        <v>999996</v>
      </c>
      <c r="C1165" t="s">
        <v>1210</v>
      </c>
      <c r="D1165">
        <v>3</v>
      </c>
      <c r="E1165" t="str">
        <f>IF(tbl_SalAccts[[#This Row],[Value]]=1,"Salary",IF(tbl_SalAccts[[#This Row],[Value]]=2,"Fringe",IF(tbl_SalAccts[[#This Row],[Value]]=3,"Other","")))</f>
        <v>Other</v>
      </c>
    </row>
    <row r="1166" spans="2:5">
      <c r="B1166">
        <v>999997</v>
      </c>
      <c r="C1166" t="s">
        <v>1211</v>
      </c>
      <c r="D1166">
        <v>3</v>
      </c>
      <c r="E1166" t="str">
        <f>IF(tbl_SalAccts[[#This Row],[Value]]=1,"Salary",IF(tbl_SalAccts[[#This Row],[Value]]=2,"Fringe",IF(tbl_SalAccts[[#This Row],[Value]]=3,"Other","")))</f>
        <v>Other</v>
      </c>
    </row>
    <row r="1167" spans="2:5">
      <c r="B1167">
        <v>999998</v>
      </c>
      <c r="C1167" t="s">
        <v>1212</v>
      </c>
      <c r="D1167">
        <v>3</v>
      </c>
      <c r="E1167" t="str">
        <f>IF(tbl_SalAccts[[#This Row],[Value]]=1,"Salary",IF(tbl_SalAccts[[#This Row],[Value]]=2,"Fringe",IF(tbl_SalAccts[[#This Row],[Value]]=3,"Other","")))</f>
        <v>Other</v>
      </c>
    </row>
    <row r="1168" spans="2:5">
      <c r="B1168">
        <v>999999</v>
      </c>
      <c r="C1168" t="s">
        <v>1213</v>
      </c>
      <c r="D1168">
        <v>3</v>
      </c>
      <c r="E1168" t="str">
        <f>IF(tbl_SalAccts[[#This Row],[Value]]=1,"Salary",IF(tbl_SalAccts[[#This Row],[Value]]=2,"Fringe",IF(tbl_SalAccts[[#This Row],[Value]]=3,"Other","")))</f>
        <v>Other</v>
      </c>
    </row>
    <row r="1169" spans="2:5">
      <c r="B1169">
        <v>710253</v>
      </c>
      <c r="C1169" t="s">
        <v>1406</v>
      </c>
      <c r="D1169">
        <v>2</v>
      </c>
      <c r="E1169" t="str">
        <f>IF(tbl_SalAccts[[#This Row],[Value]]=1,"Salary",IF(tbl_SalAccts[[#This Row],[Value]]=2,"Fringe",IF(tbl_SalAccts[[#This Row],[Value]]=3,"Other","")))</f>
        <v>Fringe</v>
      </c>
    </row>
    <row r="1170" spans="2:5">
      <c r="B1170">
        <v>710111</v>
      </c>
      <c r="C1170" t="s">
        <v>1407</v>
      </c>
      <c r="D1170">
        <v>2</v>
      </c>
      <c r="E1170" t="str">
        <f>IF(tbl_SalAccts[[#This Row],[Value]]=1,"Salary",IF(tbl_SalAccts[[#This Row],[Value]]=2,"Fringe",IF(tbl_SalAccts[[#This Row],[Value]]=3,"Other","")))</f>
        <v>Fringe</v>
      </c>
    </row>
    <row r="1171" spans="2:5">
      <c r="B1171">
        <v>710114</v>
      </c>
      <c r="C1171" t="s">
        <v>1408</v>
      </c>
      <c r="D1171">
        <v>2</v>
      </c>
      <c r="E1171" t="str">
        <f>IF(tbl_SalAccts[[#This Row],[Value]]=1,"Salary",IF(tbl_SalAccts[[#This Row],[Value]]=2,"Fringe",IF(tbl_SalAccts[[#This Row],[Value]]=3,"Other","")))</f>
        <v>Fringe</v>
      </c>
    </row>
    <row r="1172" spans="2:5">
      <c r="B1172">
        <v>710121</v>
      </c>
      <c r="C1172" t="s">
        <v>1409</v>
      </c>
      <c r="D1172">
        <v>2</v>
      </c>
      <c r="E1172" t="str">
        <f>IF(tbl_SalAccts[[#This Row],[Value]]=1,"Salary",IF(tbl_SalAccts[[#This Row],[Value]]=2,"Fringe",IF(tbl_SalAccts[[#This Row],[Value]]=3,"Other","")))</f>
        <v>Fringe</v>
      </c>
    </row>
    <row r="1173" spans="2:5">
      <c r="B1173">
        <v>710124</v>
      </c>
      <c r="C1173" t="s">
        <v>1410</v>
      </c>
      <c r="D1173">
        <v>2</v>
      </c>
      <c r="E1173" t="str">
        <f>IF(tbl_SalAccts[[#This Row],[Value]]=1,"Salary",IF(tbl_SalAccts[[#This Row],[Value]]=2,"Fringe",IF(tbl_SalAccts[[#This Row],[Value]]=3,"Other","")))</f>
        <v>Fringe</v>
      </c>
    </row>
    <row r="1174" spans="2:5">
      <c r="B1174">
        <v>710241</v>
      </c>
      <c r="C1174" t="s">
        <v>1411</v>
      </c>
      <c r="D1174">
        <v>2</v>
      </c>
      <c r="E1174" t="str">
        <f>IF(tbl_SalAccts[[#This Row],[Value]]=1,"Salary",IF(tbl_SalAccts[[#This Row],[Value]]=2,"Fringe",IF(tbl_SalAccts[[#This Row],[Value]]=3,"Other","")))</f>
        <v>Fringe</v>
      </c>
    </row>
    <row r="1175" spans="2:5">
      <c r="B1175">
        <v>710242</v>
      </c>
      <c r="C1175" t="s">
        <v>1412</v>
      </c>
      <c r="D1175">
        <v>2</v>
      </c>
      <c r="E1175" t="str">
        <f>IF(tbl_SalAccts[[#This Row],[Value]]=1,"Salary",IF(tbl_SalAccts[[#This Row],[Value]]=2,"Fringe",IF(tbl_SalAccts[[#This Row],[Value]]=3,"Other","")))</f>
        <v>Fringe</v>
      </c>
    </row>
    <row r="1176" spans="2:5">
      <c r="B1176">
        <v>710252</v>
      </c>
      <c r="C1176" t="s">
        <v>1413</v>
      </c>
      <c r="D1176">
        <v>2</v>
      </c>
      <c r="E1176" t="str">
        <f>IF(tbl_SalAccts[[#This Row],[Value]]=1,"Salary",IF(tbl_SalAccts[[#This Row],[Value]]=2,"Fringe",IF(tbl_SalAccts[[#This Row],[Value]]=3,"Other","")))</f>
        <v>Fringe</v>
      </c>
    </row>
    <row r="1177" spans="2:5">
      <c r="B1177">
        <v>710261</v>
      </c>
      <c r="C1177" t="s">
        <v>1414</v>
      </c>
      <c r="D1177">
        <v>2</v>
      </c>
      <c r="E1177" t="str">
        <f>IF(tbl_SalAccts[[#This Row],[Value]]=1,"Salary",IF(tbl_SalAccts[[#This Row],[Value]]=2,"Fringe",IF(tbl_SalAccts[[#This Row],[Value]]=3,"Other","")))</f>
        <v>Fringe</v>
      </c>
    </row>
    <row r="1178" spans="2:5">
      <c r="B1178">
        <v>710272</v>
      </c>
      <c r="C1178" t="s">
        <v>1415</v>
      </c>
      <c r="D1178">
        <v>2</v>
      </c>
      <c r="E1178" t="str">
        <f>IF(tbl_SalAccts[[#This Row],[Value]]=1,"Salary",IF(tbl_SalAccts[[#This Row],[Value]]=2,"Fringe",IF(tbl_SalAccts[[#This Row],[Value]]=3,"Other","")))</f>
        <v>Fringe</v>
      </c>
    </row>
    <row r="1179" spans="2:5">
      <c r="B1179">
        <v>710282</v>
      </c>
      <c r="C1179" t="s">
        <v>1416</v>
      </c>
      <c r="D1179">
        <v>2</v>
      </c>
      <c r="E1179" t="str">
        <f>IF(tbl_SalAccts[[#This Row],[Value]]=1,"Salary",IF(tbl_SalAccts[[#This Row],[Value]]=2,"Fringe",IF(tbl_SalAccts[[#This Row],[Value]]=3,"Other","")))</f>
        <v>Fringe</v>
      </c>
    </row>
    <row r="1180" spans="2:5">
      <c r="B1180">
        <v>710341</v>
      </c>
      <c r="C1180" t="s">
        <v>1411</v>
      </c>
      <c r="D1180">
        <v>2</v>
      </c>
      <c r="E1180" t="str">
        <f>IF(tbl_SalAccts[[#This Row],[Value]]=1,"Salary",IF(tbl_SalAccts[[#This Row],[Value]]=2,"Fringe",IF(tbl_SalAccts[[#This Row],[Value]]=3,"Other","")))</f>
        <v>Fringe</v>
      </c>
    </row>
    <row r="1181" spans="2:5">
      <c r="B1181">
        <v>710342</v>
      </c>
      <c r="C1181" t="s">
        <v>1412</v>
      </c>
      <c r="D1181">
        <v>2</v>
      </c>
      <c r="E1181" t="str">
        <f>IF(tbl_SalAccts[[#This Row],[Value]]=1,"Salary",IF(tbl_SalAccts[[#This Row],[Value]]=2,"Fringe",IF(tbl_SalAccts[[#This Row],[Value]]=3,"Other","")))</f>
        <v>Fringe</v>
      </c>
    </row>
    <row r="1182" spans="2:5">
      <c r="B1182">
        <v>710352</v>
      </c>
      <c r="C1182" t="s">
        <v>1413</v>
      </c>
      <c r="D1182">
        <v>2</v>
      </c>
      <c r="E1182" t="str">
        <f>IF(tbl_SalAccts[[#This Row],[Value]]=1,"Salary",IF(tbl_SalAccts[[#This Row],[Value]]=2,"Fringe",IF(tbl_SalAccts[[#This Row],[Value]]=3,"Other","")))</f>
        <v>Fringe</v>
      </c>
    </row>
    <row r="1183" spans="2:5">
      <c r="B1183">
        <v>710353</v>
      </c>
      <c r="C1183" t="s">
        <v>1406</v>
      </c>
      <c r="D1183">
        <v>2</v>
      </c>
      <c r="E1183" t="str">
        <f>IF(tbl_SalAccts[[#This Row],[Value]]=1,"Salary",IF(tbl_SalAccts[[#This Row],[Value]]=2,"Fringe",IF(tbl_SalAccts[[#This Row],[Value]]=3,"Other","")))</f>
        <v>Fringe</v>
      </c>
    </row>
    <row r="1184" spans="2:5">
      <c r="B1184">
        <v>710354</v>
      </c>
      <c r="C1184" t="s">
        <v>1417</v>
      </c>
      <c r="D1184">
        <v>2</v>
      </c>
      <c r="E1184" t="str">
        <f>IF(tbl_SalAccts[[#This Row],[Value]]=1,"Salary",IF(tbl_SalAccts[[#This Row],[Value]]=2,"Fringe",IF(tbl_SalAccts[[#This Row],[Value]]=3,"Other","")))</f>
        <v>Fringe</v>
      </c>
    </row>
    <row r="1185" spans="2:5">
      <c r="B1185">
        <v>710361</v>
      </c>
      <c r="C1185" t="s">
        <v>1414</v>
      </c>
      <c r="D1185">
        <v>2</v>
      </c>
      <c r="E1185" t="str">
        <f>IF(tbl_SalAccts[[#This Row],[Value]]=1,"Salary",IF(tbl_SalAccts[[#This Row],[Value]]=2,"Fringe",IF(tbl_SalAccts[[#This Row],[Value]]=3,"Other","")))</f>
        <v>Fringe</v>
      </c>
    </row>
    <row r="1186" spans="2:5">
      <c r="B1186">
        <v>710372</v>
      </c>
      <c r="C1186" t="s">
        <v>1415</v>
      </c>
      <c r="D1186">
        <v>2</v>
      </c>
      <c r="E1186" t="str">
        <f>IF(tbl_SalAccts[[#This Row],[Value]]=1,"Salary",IF(tbl_SalAccts[[#This Row],[Value]]=2,"Fringe",IF(tbl_SalAccts[[#This Row],[Value]]=3,"Other","")))</f>
        <v>Fringe</v>
      </c>
    </row>
    <row r="1187" spans="2:5">
      <c r="B1187">
        <v>710382</v>
      </c>
      <c r="C1187" t="s">
        <v>1416</v>
      </c>
      <c r="D1187">
        <v>2</v>
      </c>
      <c r="E1187" t="str">
        <f>IF(tbl_SalAccts[[#This Row],[Value]]=1,"Salary",IF(tbl_SalAccts[[#This Row],[Value]]=2,"Fringe",IF(tbl_SalAccts[[#This Row],[Value]]=3,"Other","")))</f>
        <v>Fringe</v>
      </c>
    </row>
    <row r="1188" spans="2:5">
      <c r="B1188">
        <v>710441</v>
      </c>
      <c r="C1188" t="s">
        <v>1411</v>
      </c>
      <c r="D1188">
        <v>2</v>
      </c>
      <c r="E1188" t="str">
        <f>IF(tbl_SalAccts[[#This Row],[Value]]=1,"Salary",IF(tbl_SalAccts[[#This Row],[Value]]=2,"Fringe",IF(tbl_SalAccts[[#This Row],[Value]]=3,"Other","")))</f>
        <v>Fringe</v>
      </c>
    </row>
    <row r="1189" spans="2:5">
      <c r="B1189">
        <v>710442</v>
      </c>
      <c r="C1189" t="s">
        <v>1412</v>
      </c>
      <c r="D1189">
        <v>2</v>
      </c>
      <c r="E1189" t="str">
        <f>IF(tbl_SalAccts[[#This Row],[Value]]=1,"Salary",IF(tbl_SalAccts[[#This Row],[Value]]=2,"Fringe",IF(tbl_SalAccts[[#This Row],[Value]]=3,"Other","")))</f>
        <v>Fringe</v>
      </c>
    </row>
    <row r="1190" spans="2:5">
      <c r="B1190">
        <v>710452</v>
      </c>
      <c r="C1190" t="s">
        <v>1413</v>
      </c>
      <c r="D1190">
        <v>2</v>
      </c>
      <c r="E1190" t="str">
        <f>IF(tbl_SalAccts[[#This Row],[Value]]=1,"Salary",IF(tbl_SalAccts[[#This Row],[Value]]=2,"Fringe",IF(tbl_SalAccts[[#This Row],[Value]]=3,"Other","")))</f>
        <v>Fringe</v>
      </c>
    </row>
    <row r="1191" spans="2:5">
      <c r="B1191">
        <v>710454</v>
      </c>
      <c r="C1191" t="s">
        <v>1417</v>
      </c>
      <c r="D1191">
        <v>2</v>
      </c>
      <c r="E1191" t="str">
        <f>IF(tbl_SalAccts[[#This Row],[Value]]=1,"Salary",IF(tbl_SalAccts[[#This Row],[Value]]=2,"Fringe",IF(tbl_SalAccts[[#This Row],[Value]]=3,"Other","")))</f>
        <v>Fringe</v>
      </c>
    </row>
    <row r="1192" spans="2:5">
      <c r="B1192">
        <v>710461</v>
      </c>
      <c r="C1192" t="s">
        <v>1414</v>
      </c>
      <c r="D1192">
        <v>2</v>
      </c>
      <c r="E1192" t="str">
        <f>IF(tbl_SalAccts[[#This Row],[Value]]=1,"Salary",IF(tbl_SalAccts[[#This Row],[Value]]=2,"Fringe",IF(tbl_SalAccts[[#This Row],[Value]]=3,"Other","")))</f>
        <v>Fringe</v>
      </c>
    </row>
    <row r="1193" spans="2:5">
      <c r="B1193">
        <v>710472</v>
      </c>
      <c r="C1193" t="s">
        <v>1415</v>
      </c>
      <c r="D1193">
        <v>2</v>
      </c>
      <c r="E1193" t="str">
        <f>IF(tbl_SalAccts[[#This Row],[Value]]=1,"Salary",IF(tbl_SalAccts[[#This Row],[Value]]=2,"Fringe",IF(tbl_SalAccts[[#This Row],[Value]]=3,"Other","")))</f>
        <v>Fringe</v>
      </c>
    </row>
    <row r="1194" spans="2:5">
      <c r="B1194">
        <v>710482</v>
      </c>
      <c r="C1194" t="s">
        <v>1416</v>
      </c>
      <c r="D1194">
        <v>2</v>
      </c>
      <c r="E1194" t="str">
        <f>IF(tbl_SalAccts[[#This Row],[Value]]=1,"Salary",IF(tbl_SalAccts[[#This Row],[Value]]=2,"Fringe",IF(tbl_SalAccts[[#This Row],[Value]]=3,"Other","")))</f>
        <v>Fringe</v>
      </c>
    </row>
    <row r="1195" spans="2:5">
      <c r="B1195">
        <v>720115</v>
      </c>
      <c r="C1195" t="s">
        <v>1418</v>
      </c>
      <c r="D1195">
        <v>2</v>
      </c>
      <c r="E1195" t="str">
        <f>IF(tbl_SalAccts[[#This Row],[Value]]=1,"Salary",IF(tbl_SalAccts[[#This Row],[Value]]=2,"Fringe",IF(tbl_SalAccts[[#This Row],[Value]]=3,"Other","")))</f>
        <v>Fringe</v>
      </c>
    </row>
    <row r="1196" spans="2:5">
      <c r="B1196">
        <v>720142</v>
      </c>
      <c r="C1196" t="s">
        <v>1419</v>
      </c>
      <c r="D1196">
        <v>2</v>
      </c>
      <c r="E1196" t="str">
        <f>IF(tbl_SalAccts[[#This Row],[Value]]=1,"Salary",IF(tbl_SalAccts[[#This Row],[Value]]=2,"Fringe",IF(tbl_SalAccts[[#This Row],[Value]]=3,"Other","")))</f>
        <v>Fringe</v>
      </c>
    </row>
    <row r="1197" spans="2:5">
      <c r="B1197">
        <v>740731</v>
      </c>
      <c r="C1197" t="s">
        <v>1420</v>
      </c>
      <c r="D1197">
        <v>2</v>
      </c>
      <c r="E1197" t="str">
        <f>IF(tbl_SalAccts[[#This Row],[Value]]=1,"Salary",IF(tbl_SalAccts[[#This Row],[Value]]=2,"Fringe",IF(tbl_SalAccts[[#This Row],[Value]]=3,"Other","")))</f>
        <v>Fringe</v>
      </c>
    </row>
    <row r="1198" spans="2:5">
      <c r="B1198">
        <v>720112</v>
      </c>
      <c r="C1198" t="s">
        <v>1421</v>
      </c>
      <c r="D1198">
        <v>2</v>
      </c>
      <c r="E1198" t="str">
        <f>IF(tbl_SalAccts[[#This Row],[Value]]=1,"Salary",IF(tbl_SalAccts[[#This Row],[Value]]=2,"Fringe",IF(tbl_SalAccts[[#This Row],[Value]]=3,"Other","")))</f>
        <v>Fringe</v>
      </c>
    </row>
    <row r="1199" spans="2:5">
      <c r="B1199">
        <v>710254</v>
      </c>
      <c r="C1199" t="s">
        <v>1417</v>
      </c>
      <c r="D1199">
        <v>2</v>
      </c>
      <c r="E1199" t="str">
        <f>IF(tbl_SalAccts[[#This Row],[Value]]=1,"Salary",IF(tbl_SalAccts[[#This Row],[Value]]=2,"Fringe",IF(tbl_SalAccts[[#This Row],[Value]]=3,"Other","")))</f>
        <v>Fringe</v>
      </c>
    </row>
    <row r="1200" spans="2:5">
      <c r="B1200">
        <v>720111</v>
      </c>
      <c r="C1200" t="s">
        <v>1422</v>
      </c>
      <c r="D1200">
        <v>2</v>
      </c>
      <c r="E1200" t="str">
        <f>IF(tbl_SalAccts[[#This Row],[Value]]=1,"Salary",IF(tbl_SalAccts[[#This Row],[Value]]=2,"Fringe",IF(tbl_SalAccts[[#This Row],[Value]]=3,"Other","")))</f>
        <v>Fringe</v>
      </c>
    </row>
    <row r="1201" spans="2:5">
      <c r="B1201">
        <v>720161</v>
      </c>
      <c r="C1201" t="s">
        <v>1423</v>
      </c>
      <c r="D1201">
        <v>2</v>
      </c>
      <c r="E1201" t="str">
        <f>IF(tbl_SalAccts[[#This Row],[Value]]=1,"Salary",IF(tbl_SalAccts[[#This Row],[Value]]=2,"Fringe",IF(tbl_SalAccts[[#This Row],[Value]]=3,"Other","")))</f>
        <v>Fringe</v>
      </c>
    </row>
    <row r="1202" spans="2:5">
      <c r="B1202">
        <v>720172</v>
      </c>
      <c r="C1202" t="s">
        <v>1424</v>
      </c>
      <c r="D1202">
        <v>2</v>
      </c>
      <c r="E1202" t="str">
        <f>IF(tbl_SalAccts[[#This Row],[Value]]=1,"Salary",IF(tbl_SalAccts[[#This Row],[Value]]=2,"Fringe",IF(tbl_SalAccts[[#This Row],[Value]]=3,"Other","")))</f>
        <v>Fringe</v>
      </c>
    </row>
    <row r="1203" spans="2:5">
      <c r="B1203">
        <v>720121</v>
      </c>
      <c r="C1203" t="s">
        <v>1425</v>
      </c>
      <c r="D1203">
        <v>2</v>
      </c>
      <c r="E1203" t="str">
        <f>IF(tbl_SalAccts[[#This Row],[Value]]=1,"Salary",IF(tbl_SalAccts[[#This Row],[Value]]=2,"Fringe",IF(tbl_SalAccts[[#This Row],[Value]]=3,"Other","")))</f>
        <v>Fringe</v>
      </c>
    </row>
    <row r="1204" spans="2:5">
      <c r="B1204">
        <v>720141</v>
      </c>
      <c r="C1204" t="s">
        <v>1426</v>
      </c>
      <c r="D1204">
        <v>2</v>
      </c>
      <c r="E1204" t="str">
        <f>IF(tbl_SalAccts[[#This Row],[Value]]=1,"Salary",IF(tbl_SalAccts[[#This Row],[Value]]=2,"Fringe",IF(tbl_SalAccts[[#This Row],[Value]]=3,"Other","")))</f>
        <v>Fringe</v>
      </c>
    </row>
    <row r="1205" spans="2:5">
      <c r="B1205">
        <v>720123</v>
      </c>
      <c r="C1205" t="s">
        <v>1427</v>
      </c>
      <c r="D1205">
        <v>2</v>
      </c>
      <c r="E1205" t="str">
        <f>IF(tbl_SalAccts[[#This Row],[Value]]=1,"Salary",IF(tbl_SalAccts[[#This Row],[Value]]=2,"Fringe",IF(tbl_SalAccts[[#This Row],[Value]]=3,"Other","")))</f>
        <v>Fringe</v>
      </c>
    </row>
  </sheetData>
  <sortState xmlns:xlrd2="http://schemas.microsoft.com/office/spreadsheetml/2017/richdata2" ref="B2:C82">
    <sortCondition ref="B2:B82"/>
  </sortState>
  <conditionalFormatting sqref="B82:C83">
    <cfRule type="expression" dxfId="1" priority="1">
      <formula>$U82&lt;&gt;0</formula>
    </cfRule>
  </conditionalFormatting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rgb="FF8E774D"/>
  </sheetPr>
  <dimension ref="B1:V5"/>
  <sheetViews>
    <sheetView workbookViewId="0"/>
  </sheetViews>
  <sheetFormatPr defaultRowHeight="14.5"/>
  <cols>
    <col min="1" max="1" width="3.54296875" customWidth="1"/>
    <col min="2" max="2" width="30.453125" hidden="1" customWidth="1"/>
    <col min="3" max="3" width="21.26953125" bestFit="1" customWidth="1"/>
    <col min="4" max="4" width="12.1796875" bestFit="1" customWidth="1"/>
    <col min="5" max="5" width="27.54296875" bestFit="1" customWidth="1"/>
    <col min="6" max="6" width="24.453125" bestFit="1" customWidth="1"/>
    <col min="7" max="7" width="15.453125" style="2" bestFit="1" customWidth="1"/>
    <col min="8" max="8" width="15" bestFit="1" customWidth="1"/>
    <col min="9" max="9" width="22.26953125" bestFit="1" customWidth="1"/>
    <col min="10" max="11" width="10.453125" bestFit="1" customWidth="1"/>
    <col min="12" max="12" width="13.26953125" bestFit="1" customWidth="1"/>
    <col min="13" max="13" width="12.453125" bestFit="1" customWidth="1"/>
    <col min="14" max="14" width="14.7265625" bestFit="1" customWidth="1"/>
    <col min="15" max="15" width="20.54296875" bestFit="1" customWidth="1"/>
    <col min="16" max="18" width="30.453125" hidden="1" customWidth="1"/>
    <col min="19" max="19" width="27.453125" style="1" bestFit="1" customWidth="1"/>
    <col min="20" max="20" width="27.453125" style="1" customWidth="1"/>
    <col min="21" max="21" width="25.54296875" style="1" customWidth="1"/>
    <col min="22" max="22" width="30.54296875" customWidth="1"/>
  </cols>
  <sheetData>
    <row r="1" spans="2:22">
      <c r="C1" t="s">
        <v>1731</v>
      </c>
    </row>
    <row r="2" spans="2:22" s="1" customFormat="1">
      <c r="B2" s="1" t="s">
        <v>1216</v>
      </c>
      <c r="C2" s="1" t="s">
        <v>1226</v>
      </c>
      <c r="D2" s="1" t="s">
        <v>1227</v>
      </c>
      <c r="E2" s="1" t="s">
        <v>1228</v>
      </c>
      <c r="F2" s="1" t="s">
        <v>1217</v>
      </c>
      <c r="G2" s="6" t="s">
        <v>1218</v>
      </c>
      <c r="H2" s="1" t="s">
        <v>1219</v>
      </c>
      <c r="I2" s="1" t="s">
        <v>1220</v>
      </c>
      <c r="J2" s="1" t="s">
        <v>1221</v>
      </c>
      <c r="K2" s="1" t="s">
        <v>7</v>
      </c>
      <c r="L2" s="1" t="s">
        <v>9</v>
      </c>
      <c r="M2" s="1" t="s">
        <v>8</v>
      </c>
      <c r="N2" s="1" t="s">
        <v>1222</v>
      </c>
      <c r="O2" s="1" t="s">
        <v>1223</v>
      </c>
      <c r="P2" s="1" t="s">
        <v>1224</v>
      </c>
      <c r="Q2" s="1" t="s">
        <v>1232</v>
      </c>
      <c r="R2" s="1" t="s">
        <v>1233</v>
      </c>
      <c r="S2" s="1" t="s">
        <v>1229</v>
      </c>
      <c r="T2" s="1" t="s">
        <v>1231</v>
      </c>
      <c r="U2" s="1" t="s">
        <v>15</v>
      </c>
      <c r="V2" s="1" t="s">
        <v>1230</v>
      </c>
    </row>
    <row r="3" spans="2:22">
      <c r="B3" s="7" t="str">
        <f>tbl_Pcard[[#This Row],[Reference+ID]]</f>
        <v/>
      </c>
      <c r="C3" s="13"/>
      <c r="D3" s="14"/>
      <c r="E3" s="13"/>
      <c r="F3" s="13"/>
      <c r="G3" s="15"/>
      <c r="H3" s="16"/>
      <c r="I3" s="14"/>
      <c r="J3" s="14"/>
      <c r="K3" s="14"/>
      <c r="L3" s="14"/>
      <c r="M3" s="14"/>
      <c r="N3" s="14"/>
      <c r="P3" s="8" t="str">
        <f>IF("'"&amp;IF(CONCATENATE(IF(tbl_Pcard[[#This Row],[Incorrect Charge]]="",VALUE(tbl_Pcard[[#This Row],[Dept]]),tbl_Pcard[[#This Row],[Incorrect Charge]]),VALUE(tbl_Pcard[[#This Row],[Fund]]),IF(tbl_Pcard[[#This Row],[Project]]="","-",VALUE(tbl_Pcard[[#This Row],[Project]])),VALUE(tbl_Pcard[[#This Row],[Account]]),IF(tbl_Pcard[[#This Row],[Voucher '#]]="","-",VALUE(tbl_Pcard[[#This Row],[Voucher '#]])),VALUE(tbl_Pcard[[#This Row],[Trans Amt]]))="00-0-0","",CONCATENATE(IF(tbl_Pcard[[#This Row],[Incorrect Charge]]="",VALUE(tbl_Pcard[[#This Row],[Dept]]),tbl_Pcard[[#This Row],[Incorrect Charge]]),VALUE(tbl_Pcard[[#This Row],[Fund]]),IF(tbl_Pcard[[#This Row],[Project]]="","-",VALUE(tbl_Pcard[[#This Row],[Project]])),VALUE(tbl_Pcard[[#This Row],[Account]]),IF(tbl_Pcard[[#This Row],[Voucher '#]]="","-",VALUE(tbl_Pcard[[#This Row],[Voucher '#]])),VALUE(tbl_Pcard[[#This Row],[Trans Amt]])))="'","","'"&amp;IF(CONCATENATE(IF(tbl_Pcard[[#This Row],[Incorrect Charge]]="",VALUE(tbl_Pcard[[#This Row],[Dept]]),tbl_Pcard[[#This Row],[Incorrect Charge]]),VALUE(tbl_Pcard[[#This Row],[Fund]]),IF(tbl_Pcard[[#This Row],[Project]]="","-",VALUE(tbl_Pcard[[#This Row],[Project]])),VALUE(tbl_Pcard[[#This Row],[Account]]),IF(tbl_Pcard[[#This Row],[Voucher '#]]="","-",VALUE(tbl_Pcard[[#This Row],[Voucher '#]])),VALUE(tbl_Pcard[[#This Row],[Trans Amt]]))="00-0-0","",CONCATENATE(IF(tbl_Pcard[[#This Row],[Incorrect Charge]]="",VALUE(tbl_Pcard[[#This Row],[Dept]]),tbl_Pcard[[#This Row],[Incorrect Charge]]),VALUE(tbl_Pcard[[#This Row],[Fund]]),IF(tbl_Pcard[[#This Row],[Project]]="","-",VALUE(tbl_Pcard[[#This Row],[Project]])),VALUE(tbl_Pcard[[#This Row],[Account]]),IF(tbl_Pcard[[#This Row],[Voucher '#]]="","-",VALUE(tbl_Pcard[[#This Row],[Voucher '#]])),VALUE(tbl_Pcard[[#This Row],[Trans Amt]]))))</f>
        <v/>
      </c>
      <c r="Q3" s="8">
        <f>COUNTIF(P$3:tbl_Pcard[[#This Row],[Reference]],tbl_Pcard[[#This Row],[Reference]])</f>
        <v>1</v>
      </c>
      <c r="R3" s="8" t="str">
        <f>IF(tbl_Pcard[[#This Row],[Reference]]="","",CONCATENATE(tbl_Pcard[[#This Row],[Reference]],tbl_Pcard[[#This Row],[Unq_ID]]))</f>
        <v/>
      </c>
      <c r="S3" s="9" t="str">
        <f>IF(tbl_Pcard[[#This Row],[Incorrect Charge]]&lt;&gt;"",tbl_Pcard[[#This Row],[Incorrect Charge]],IF(IFERROR(VLOOKUP(tbl_Pcard[[#This Row],[Reference+ID]],#REF!,1,0),"")&lt;&gt;tbl_Pcard[[#This Row],[Reference+ID]],"NO MATCH",""))</f>
        <v/>
      </c>
      <c r="T3" s="11"/>
      <c r="U3" s="11"/>
      <c r="V3" s="10"/>
    </row>
    <row r="4" spans="2:22">
      <c r="B4" s="7" t="str">
        <f>tbl_Pcard[[#This Row],[Reference+ID]]</f>
        <v/>
      </c>
      <c r="C4" s="13"/>
      <c r="D4" s="14"/>
      <c r="E4" s="13"/>
      <c r="F4" s="13"/>
      <c r="G4" s="15"/>
      <c r="H4" s="16"/>
      <c r="I4" s="14"/>
      <c r="J4" s="14"/>
      <c r="K4" s="14"/>
      <c r="L4" s="14"/>
      <c r="M4" s="14"/>
      <c r="N4" s="14"/>
      <c r="P4" s="8" t="str">
        <f>IF("'"&amp;IF(CONCATENATE(IF(tbl_Pcard[[#This Row],[Incorrect Charge]]="",VALUE(tbl_Pcard[[#This Row],[Dept]]),tbl_Pcard[[#This Row],[Incorrect Charge]]),VALUE(tbl_Pcard[[#This Row],[Fund]]),IF(tbl_Pcard[[#This Row],[Project]]="","-",VALUE(tbl_Pcard[[#This Row],[Project]])),VALUE(tbl_Pcard[[#This Row],[Account]]),IF(tbl_Pcard[[#This Row],[Voucher '#]]="","-",VALUE(tbl_Pcard[[#This Row],[Voucher '#]])),VALUE(tbl_Pcard[[#This Row],[Trans Amt]]))="00-0-0","",CONCATENATE(IF(tbl_Pcard[[#This Row],[Incorrect Charge]]="",VALUE(tbl_Pcard[[#This Row],[Dept]]),tbl_Pcard[[#This Row],[Incorrect Charge]]),VALUE(tbl_Pcard[[#This Row],[Fund]]),IF(tbl_Pcard[[#This Row],[Project]]="","-",VALUE(tbl_Pcard[[#This Row],[Project]])),VALUE(tbl_Pcard[[#This Row],[Account]]),IF(tbl_Pcard[[#This Row],[Voucher '#]]="","-",VALUE(tbl_Pcard[[#This Row],[Voucher '#]])),VALUE(tbl_Pcard[[#This Row],[Trans Amt]])))="'","","'"&amp;IF(CONCATENATE(IF(tbl_Pcard[[#This Row],[Incorrect Charge]]="",VALUE(tbl_Pcard[[#This Row],[Dept]]),tbl_Pcard[[#This Row],[Incorrect Charge]]),VALUE(tbl_Pcard[[#This Row],[Fund]]),IF(tbl_Pcard[[#This Row],[Project]]="","-",VALUE(tbl_Pcard[[#This Row],[Project]])),VALUE(tbl_Pcard[[#This Row],[Account]]),IF(tbl_Pcard[[#This Row],[Voucher '#]]="","-",VALUE(tbl_Pcard[[#This Row],[Voucher '#]])),VALUE(tbl_Pcard[[#This Row],[Trans Amt]]))="00-0-0","",CONCATENATE(IF(tbl_Pcard[[#This Row],[Incorrect Charge]]="",VALUE(tbl_Pcard[[#This Row],[Dept]]),tbl_Pcard[[#This Row],[Incorrect Charge]]),VALUE(tbl_Pcard[[#This Row],[Fund]]),IF(tbl_Pcard[[#This Row],[Project]]="","-",VALUE(tbl_Pcard[[#This Row],[Project]])),VALUE(tbl_Pcard[[#This Row],[Account]]),IF(tbl_Pcard[[#This Row],[Voucher '#]]="","-",VALUE(tbl_Pcard[[#This Row],[Voucher '#]])),VALUE(tbl_Pcard[[#This Row],[Trans Amt]]))))</f>
        <v/>
      </c>
      <c r="Q4" s="8">
        <f>COUNTIF(P$3:tbl_Pcard[[#This Row],[Reference]],tbl_Pcard[[#This Row],[Reference]])</f>
        <v>2</v>
      </c>
      <c r="R4" s="8" t="str">
        <f>IF(tbl_Pcard[[#This Row],[Reference]]="","",CONCATENATE(tbl_Pcard[[#This Row],[Reference]],tbl_Pcard[[#This Row],[Unq_ID]]))</f>
        <v/>
      </c>
      <c r="S4" s="9" t="str">
        <f>IF(tbl_Pcard[[#This Row],[Incorrect Charge]]&lt;&gt;"",tbl_Pcard[[#This Row],[Incorrect Charge]],IF(IFERROR(VLOOKUP(tbl_Pcard[[#This Row],[Reference+ID]],#REF!,1,0),"")&lt;&gt;tbl_Pcard[[#This Row],[Reference+ID]],"NO MATCH",""))</f>
        <v/>
      </c>
      <c r="T4" s="11"/>
      <c r="U4" s="11"/>
      <c r="V4" s="10"/>
    </row>
    <row r="5" spans="2:22">
      <c r="B5" s="7" t="str">
        <f>tbl_Pcard[[#This Row],[Reference+ID]]</f>
        <v/>
      </c>
      <c r="C5" s="13"/>
      <c r="D5" s="14"/>
      <c r="E5" s="13"/>
      <c r="F5" s="13"/>
      <c r="G5" s="15"/>
      <c r="H5" s="16"/>
      <c r="I5" s="14"/>
      <c r="J5" s="14"/>
      <c r="K5" s="14"/>
      <c r="L5" s="14"/>
      <c r="M5" s="14"/>
      <c r="N5" s="14"/>
      <c r="P5" s="8" t="str">
        <f>IF("'"&amp;IF(CONCATENATE(IF(tbl_Pcard[[#This Row],[Incorrect Charge]]="",VALUE(tbl_Pcard[[#This Row],[Dept]]),tbl_Pcard[[#This Row],[Incorrect Charge]]),VALUE(tbl_Pcard[[#This Row],[Fund]]),IF(tbl_Pcard[[#This Row],[Project]]="","-",VALUE(tbl_Pcard[[#This Row],[Project]])),VALUE(tbl_Pcard[[#This Row],[Account]]),IF(tbl_Pcard[[#This Row],[Voucher '#]]="","-",VALUE(tbl_Pcard[[#This Row],[Voucher '#]])),VALUE(tbl_Pcard[[#This Row],[Trans Amt]]))="00-0-0","",CONCATENATE(IF(tbl_Pcard[[#This Row],[Incorrect Charge]]="",VALUE(tbl_Pcard[[#This Row],[Dept]]),tbl_Pcard[[#This Row],[Incorrect Charge]]),VALUE(tbl_Pcard[[#This Row],[Fund]]),IF(tbl_Pcard[[#This Row],[Project]]="","-",VALUE(tbl_Pcard[[#This Row],[Project]])),VALUE(tbl_Pcard[[#This Row],[Account]]),IF(tbl_Pcard[[#This Row],[Voucher '#]]="","-",VALUE(tbl_Pcard[[#This Row],[Voucher '#]])),VALUE(tbl_Pcard[[#This Row],[Trans Amt]])))="'","","'"&amp;IF(CONCATENATE(IF(tbl_Pcard[[#This Row],[Incorrect Charge]]="",VALUE(tbl_Pcard[[#This Row],[Dept]]),tbl_Pcard[[#This Row],[Incorrect Charge]]),VALUE(tbl_Pcard[[#This Row],[Fund]]),IF(tbl_Pcard[[#This Row],[Project]]="","-",VALUE(tbl_Pcard[[#This Row],[Project]])),VALUE(tbl_Pcard[[#This Row],[Account]]),IF(tbl_Pcard[[#This Row],[Voucher '#]]="","-",VALUE(tbl_Pcard[[#This Row],[Voucher '#]])),VALUE(tbl_Pcard[[#This Row],[Trans Amt]]))="00-0-0","",CONCATENATE(IF(tbl_Pcard[[#This Row],[Incorrect Charge]]="",VALUE(tbl_Pcard[[#This Row],[Dept]]),tbl_Pcard[[#This Row],[Incorrect Charge]]),VALUE(tbl_Pcard[[#This Row],[Fund]]),IF(tbl_Pcard[[#This Row],[Project]]="","-",VALUE(tbl_Pcard[[#This Row],[Project]])),VALUE(tbl_Pcard[[#This Row],[Account]]),IF(tbl_Pcard[[#This Row],[Voucher '#]]="","-",VALUE(tbl_Pcard[[#This Row],[Voucher '#]])),VALUE(tbl_Pcard[[#This Row],[Trans Amt]]))))</f>
        <v/>
      </c>
      <c r="Q5" s="8">
        <f>COUNTIF(P$3:tbl_Pcard[[#This Row],[Reference]],tbl_Pcard[[#This Row],[Reference]])</f>
        <v>3</v>
      </c>
      <c r="R5" s="8" t="str">
        <f>IF(tbl_Pcard[[#This Row],[Reference]]="","",CONCATENATE(tbl_Pcard[[#This Row],[Reference]],tbl_Pcard[[#This Row],[Unq_ID]]))</f>
        <v/>
      </c>
      <c r="S5" s="9" t="str">
        <f>IF(tbl_Pcard[[#This Row],[Incorrect Charge]]&lt;&gt;"",tbl_Pcard[[#This Row],[Incorrect Charge]],IF(IFERROR(VLOOKUP(tbl_Pcard[[#This Row],[Reference+ID]],#REF!,1,0),"")&lt;&gt;tbl_Pcard[[#This Row],[Reference+ID]],"NO MATCH",""))</f>
        <v/>
      </c>
      <c r="T5" s="11"/>
      <c r="U5" s="11"/>
      <c r="V5" s="10"/>
    </row>
  </sheetData>
  <conditionalFormatting sqref="S3:S5">
    <cfRule type="expression" dxfId="0" priority="1">
      <formula>$S3&lt;&gt;""</formula>
    </cfRule>
  </conditionalFormatting>
  <dataValidations count="1">
    <dataValidation type="list" allowBlank="1" showInputMessage="1" showErrorMessage="1" sqref="T3:T5" xr:uid="{00000000-0002-0000-0600-000000000000}">
      <formula1>"Incorrect Charge"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>
    <tabColor rgb="FFCEB888"/>
    <pageSetUpPr fitToPage="1"/>
  </sheetPr>
  <dimension ref="A1:AZ6"/>
  <sheetViews>
    <sheetView workbookViewId="0">
      <selection sqref="A1:A5"/>
    </sheetView>
  </sheetViews>
  <sheetFormatPr defaultColWidth="8.7265625" defaultRowHeight="14.5"/>
  <cols>
    <col min="1" max="1" width="3.54296875" style="216" customWidth="1"/>
    <col min="2" max="2" width="17.1796875" style="216" bestFit="1" customWidth="1"/>
    <col min="3" max="3" width="10.81640625" style="216" bestFit="1" customWidth="1"/>
    <col min="4" max="4" width="12.54296875" style="216" bestFit="1" customWidth="1"/>
    <col min="5" max="7" width="17" style="216" bestFit="1" customWidth="1"/>
    <col min="8" max="8" width="33" style="216" bestFit="1" customWidth="1"/>
    <col min="9" max="9" width="42.81640625" style="216" customWidth="1"/>
    <col min="10" max="10" width="16.453125" style="216" bestFit="1" customWidth="1"/>
    <col min="11" max="11" width="15.54296875" style="235" customWidth="1"/>
    <col min="12" max="12" width="15.54296875" style="235" hidden="1" customWidth="1"/>
    <col min="13" max="13" width="15.54296875" style="236" hidden="1" customWidth="1"/>
    <col min="14" max="14" width="15.54296875" style="235" customWidth="1"/>
    <col min="15" max="15" width="15.54296875" style="235" hidden="1" customWidth="1"/>
    <col min="16" max="16" width="15.54296875" style="236" hidden="1" customWidth="1"/>
    <col min="17" max="17" width="15.54296875" style="235" customWidth="1"/>
    <col min="18" max="18" width="15.54296875" style="235" hidden="1" customWidth="1"/>
    <col min="19" max="19" width="15.54296875" style="236" hidden="1" customWidth="1"/>
    <col min="20" max="20" width="15.54296875" style="235" customWidth="1"/>
    <col min="21" max="21" width="15.54296875" style="235" hidden="1" customWidth="1"/>
    <col min="22" max="22" width="15.54296875" style="236" hidden="1" customWidth="1"/>
    <col min="23" max="23" width="15.54296875" style="235" customWidth="1"/>
    <col min="24" max="24" width="15.54296875" style="235" hidden="1" customWidth="1"/>
    <col min="25" max="25" width="15.54296875" style="236" hidden="1" customWidth="1"/>
    <col min="26" max="26" width="15.54296875" style="235" customWidth="1"/>
    <col min="27" max="27" width="15.54296875" style="235" hidden="1" customWidth="1"/>
    <col min="28" max="28" width="15.54296875" style="236" hidden="1" customWidth="1"/>
    <col min="29" max="29" width="15.54296875" style="235" customWidth="1"/>
    <col min="30" max="30" width="15.54296875" style="235" hidden="1" customWidth="1"/>
    <col min="31" max="31" width="15.54296875" style="236" hidden="1" customWidth="1"/>
    <col min="32" max="32" width="15.54296875" style="235" customWidth="1"/>
    <col min="33" max="33" width="15.54296875" style="235" hidden="1" customWidth="1"/>
    <col min="34" max="34" width="15.54296875" style="236" hidden="1" customWidth="1"/>
    <col min="35" max="35" width="15.54296875" style="235" customWidth="1"/>
    <col min="36" max="36" width="15.54296875" style="235" hidden="1" customWidth="1"/>
    <col min="37" max="37" width="15.54296875" style="236" hidden="1" customWidth="1"/>
    <col min="38" max="38" width="15.54296875" style="235" customWidth="1"/>
    <col min="39" max="39" width="15.54296875" style="235" hidden="1" customWidth="1"/>
    <col min="40" max="40" width="15.54296875" style="236" hidden="1" customWidth="1"/>
    <col min="41" max="41" width="15.54296875" style="235" customWidth="1"/>
    <col min="42" max="42" width="15.54296875" style="235" hidden="1" customWidth="1"/>
    <col min="43" max="43" width="15.54296875" style="236" hidden="1" customWidth="1"/>
    <col min="44" max="44" width="15.54296875" style="235" customWidth="1"/>
    <col min="45" max="45" width="15.54296875" style="235" hidden="1" customWidth="1"/>
    <col min="46" max="46" width="15.54296875" style="236" hidden="1" customWidth="1"/>
    <col min="47" max="47" width="15.54296875" style="236" customWidth="1"/>
    <col min="48" max="48" width="22" style="236" bestFit="1" customWidth="1"/>
    <col min="49" max="49" width="17.7265625" style="216" hidden="1" customWidth="1"/>
    <col min="50" max="50" width="20" style="216" hidden="1" customWidth="1"/>
    <col min="51" max="51" width="21.26953125" style="216" hidden="1" customWidth="1"/>
    <col min="52" max="52" width="8.7265625" style="216" hidden="1" customWidth="1"/>
    <col min="53" max="16384" width="8.7265625" style="216"/>
  </cols>
  <sheetData>
    <row r="1" spans="1:52">
      <c r="A1" s="304"/>
      <c r="K1" s="217"/>
      <c r="L1" s="217"/>
      <c r="M1" s="218"/>
      <c r="N1" s="217"/>
      <c r="O1" s="217"/>
      <c r="P1" s="218"/>
      <c r="Q1" s="217"/>
      <c r="R1" s="217"/>
      <c r="S1" s="218"/>
      <c r="T1" s="217"/>
      <c r="U1" s="217"/>
      <c r="V1" s="218"/>
      <c r="W1" s="217"/>
      <c r="X1" s="217"/>
      <c r="Y1" s="218"/>
      <c r="Z1" s="217"/>
      <c r="AA1" s="217"/>
      <c r="AB1" s="218"/>
      <c r="AC1" s="217"/>
      <c r="AD1" s="217"/>
      <c r="AE1" s="218"/>
      <c r="AF1" s="217"/>
      <c r="AG1" s="217"/>
      <c r="AH1" s="218"/>
      <c r="AI1" s="217"/>
      <c r="AJ1" s="217"/>
      <c r="AK1" s="218"/>
      <c r="AL1" s="217"/>
      <c r="AM1" s="217"/>
      <c r="AN1" s="218"/>
      <c r="AO1" s="217"/>
      <c r="AP1" s="217"/>
      <c r="AQ1" s="218"/>
      <c r="AR1" s="217"/>
      <c r="AS1" s="217"/>
      <c r="AT1" s="218"/>
      <c r="AU1" s="218"/>
      <c r="AV1" s="218"/>
    </row>
    <row r="2" spans="1:52">
      <c r="A2" s="304"/>
      <c r="B2" s="219" t="s">
        <v>1271</v>
      </c>
      <c r="K2" s="217"/>
      <c r="L2" s="217"/>
      <c r="M2" s="218"/>
      <c r="N2" s="217"/>
      <c r="O2" s="217"/>
      <c r="P2" s="218"/>
      <c r="Q2" s="217"/>
      <c r="R2" s="217"/>
      <c r="S2" s="218"/>
      <c r="T2" s="217"/>
      <c r="U2" s="217"/>
      <c r="V2" s="218"/>
      <c r="W2" s="217"/>
      <c r="X2" s="217"/>
      <c r="Y2" s="218"/>
      <c r="Z2" s="217"/>
      <c r="AA2" s="217"/>
      <c r="AB2" s="218"/>
      <c r="AC2" s="217"/>
      <c r="AD2" s="217"/>
      <c r="AE2" s="218"/>
      <c r="AF2" s="217"/>
      <c r="AG2" s="217"/>
      <c r="AH2" s="218"/>
      <c r="AI2" s="217"/>
      <c r="AJ2" s="217"/>
      <c r="AK2" s="218"/>
      <c r="AL2" s="217"/>
      <c r="AM2" s="217"/>
      <c r="AN2" s="218"/>
      <c r="AO2" s="217"/>
      <c r="AP2" s="217"/>
      <c r="AQ2" s="218"/>
      <c r="AR2" s="217"/>
      <c r="AS2" s="217"/>
      <c r="AT2" s="218"/>
      <c r="AU2" s="218"/>
      <c r="AV2" s="218"/>
    </row>
    <row r="3" spans="1:52">
      <c r="A3" s="304"/>
      <c r="B3" s="220" t="s">
        <v>1694</v>
      </c>
      <c r="K3" s="217"/>
      <c r="L3" s="217"/>
      <c r="M3" s="218"/>
      <c r="N3" s="217"/>
      <c r="O3" s="217"/>
      <c r="P3" s="218"/>
      <c r="Q3" s="217"/>
      <c r="R3" s="217"/>
      <c r="S3" s="218"/>
      <c r="T3" s="217"/>
      <c r="U3" s="217"/>
      <c r="V3" s="218"/>
      <c r="W3" s="217"/>
      <c r="X3" s="217"/>
      <c r="Y3" s="218"/>
      <c r="Z3" s="217"/>
      <c r="AA3" s="217"/>
      <c r="AB3" s="218"/>
      <c r="AC3" s="217"/>
      <c r="AD3" s="217"/>
      <c r="AE3" s="218"/>
      <c r="AF3" s="217"/>
      <c r="AG3" s="217"/>
      <c r="AH3" s="218"/>
      <c r="AI3" s="217"/>
      <c r="AJ3" s="217"/>
      <c r="AK3" s="218"/>
      <c r="AL3" s="217"/>
      <c r="AM3" s="217"/>
      <c r="AN3" s="218"/>
      <c r="AO3" s="217"/>
      <c r="AP3" s="217"/>
      <c r="AQ3" s="218"/>
      <c r="AR3" s="217"/>
      <c r="AS3" s="217"/>
      <c r="AT3" s="218"/>
      <c r="AU3" s="218"/>
      <c r="AV3" s="218"/>
    </row>
    <row r="4" spans="1:52" s="221" customFormat="1">
      <c r="A4" s="304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222"/>
      <c r="AV4" s="222"/>
    </row>
    <row r="5" spans="1:52" s="215" customFormat="1">
      <c r="A5" s="304"/>
      <c r="B5" s="215" t="s">
        <v>1238</v>
      </c>
      <c r="C5" s="215" t="s">
        <v>1239</v>
      </c>
      <c r="D5" s="215" t="s">
        <v>1240</v>
      </c>
      <c r="E5" s="215" t="s">
        <v>1241</v>
      </c>
      <c r="F5" s="215" t="s">
        <v>1242</v>
      </c>
      <c r="G5" s="215" t="s">
        <v>1243</v>
      </c>
      <c r="H5" s="215" t="s">
        <v>9</v>
      </c>
      <c r="I5" s="215" t="s">
        <v>1287</v>
      </c>
      <c r="J5" s="215" t="s">
        <v>17</v>
      </c>
      <c r="K5" s="223" t="s">
        <v>1245</v>
      </c>
      <c r="L5" s="223" t="s">
        <v>1361</v>
      </c>
      <c r="M5" s="224" t="s">
        <v>1246</v>
      </c>
      <c r="N5" s="223" t="s">
        <v>1247</v>
      </c>
      <c r="O5" s="223" t="s">
        <v>1362</v>
      </c>
      <c r="P5" s="224" t="s">
        <v>1248</v>
      </c>
      <c r="Q5" s="223" t="s">
        <v>1249</v>
      </c>
      <c r="R5" s="223" t="s">
        <v>1363</v>
      </c>
      <c r="S5" s="224" t="s">
        <v>1250</v>
      </c>
      <c r="T5" s="223" t="s">
        <v>1251</v>
      </c>
      <c r="U5" s="223" t="s">
        <v>1364</v>
      </c>
      <c r="V5" s="224" t="s">
        <v>1252</v>
      </c>
      <c r="W5" s="223" t="s">
        <v>1253</v>
      </c>
      <c r="X5" s="223" t="s">
        <v>1365</v>
      </c>
      <c r="Y5" s="224" t="s">
        <v>1254</v>
      </c>
      <c r="Z5" s="223" t="s">
        <v>1255</v>
      </c>
      <c r="AA5" s="223" t="s">
        <v>1366</v>
      </c>
      <c r="AB5" s="224" t="s">
        <v>1256</v>
      </c>
      <c r="AC5" s="223" t="s">
        <v>1257</v>
      </c>
      <c r="AD5" s="223" t="s">
        <v>1367</v>
      </c>
      <c r="AE5" s="224" t="s">
        <v>1258</v>
      </c>
      <c r="AF5" s="223" t="s">
        <v>1259</v>
      </c>
      <c r="AG5" s="223" t="s">
        <v>1368</v>
      </c>
      <c r="AH5" s="224" t="s">
        <v>1260</v>
      </c>
      <c r="AI5" s="223" t="s">
        <v>1261</v>
      </c>
      <c r="AJ5" s="223" t="s">
        <v>1369</v>
      </c>
      <c r="AK5" s="224" t="s">
        <v>1262</v>
      </c>
      <c r="AL5" s="223" t="s">
        <v>1263</v>
      </c>
      <c r="AM5" s="223" t="s">
        <v>1370</v>
      </c>
      <c r="AN5" s="224" t="s">
        <v>1264</v>
      </c>
      <c r="AO5" s="223" t="s">
        <v>1265</v>
      </c>
      <c r="AP5" s="223" t="s">
        <v>1371</v>
      </c>
      <c r="AQ5" s="224" t="s">
        <v>1266</v>
      </c>
      <c r="AR5" s="223" t="s">
        <v>1267</v>
      </c>
      <c r="AS5" s="223" t="s">
        <v>1372</v>
      </c>
      <c r="AT5" s="224" t="s">
        <v>1268</v>
      </c>
      <c r="AU5" s="224" t="s">
        <v>1269</v>
      </c>
      <c r="AV5" s="224" t="s">
        <v>1270</v>
      </c>
      <c r="AW5" s="215" t="s">
        <v>1405</v>
      </c>
      <c r="AX5" s="215" t="s">
        <v>1664</v>
      </c>
      <c r="AY5" s="215" t="s">
        <v>1556</v>
      </c>
      <c r="AZ5" s="215" t="s">
        <v>1693</v>
      </c>
    </row>
    <row r="6" spans="1:52" ht="15.75" customHeight="1">
      <c r="D6" s="225"/>
      <c r="K6" s="226"/>
      <c r="L6" s="227"/>
      <c r="M6" s="228"/>
      <c r="N6" s="226"/>
      <c r="O6" s="229"/>
      <c r="P6" s="228"/>
      <c r="Q6" s="226"/>
      <c r="R6" s="229"/>
      <c r="S6" s="228"/>
      <c r="T6" s="226"/>
      <c r="U6" s="229"/>
      <c r="V6" s="228"/>
      <c r="W6" s="226"/>
      <c r="X6" s="229"/>
      <c r="Y6" s="228"/>
      <c r="Z6" s="226"/>
      <c r="AA6" s="229"/>
      <c r="AB6" s="228"/>
      <c r="AC6" s="230"/>
      <c r="AD6" s="229"/>
      <c r="AE6" s="228"/>
      <c r="AF6" s="230"/>
      <c r="AG6" s="229"/>
      <c r="AH6" s="228"/>
      <c r="AI6" s="230"/>
      <c r="AJ6" s="229"/>
      <c r="AK6" s="228"/>
      <c r="AL6" s="230"/>
      <c r="AM6" s="229"/>
      <c r="AN6" s="228"/>
      <c r="AO6" s="230"/>
      <c r="AP6" s="229"/>
      <c r="AQ6" s="228"/>
      <c r="AR6" s="230"/>
      <c r="AS6" s="229"/>
      <c r="AT6" s="228"/>
      <c r="AU6" s="231"/>
      <c r="AV6" s="232"/>
      <c r="AW6" s="233"/>
      <c r="AX6" s="203"/>
      <c r="AY6" s="234"/>
      <c r="AZ6" s="234"/>
    </row>
  </sheetData>
  <mergeCells count="1">
    <mergeCell ref="A1:A5"/>
  </mergeCells>
  <pageMargins left="0.7" right="0.7" top="0.75" bottom="0.75" header="0.3" footer="0.3"/>
  <pageSetup scale="29" orientation="landscape" horizontalDpi="1200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'Budget Category Lookup'!$I$3:$I$39</xm:f>
          </x14:formula1>
          <xm:sqref>H6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1">
    <tabColor rgb="FF782F40"/>
  </sheetPr>
  <dimension ref="A1:Y5"/>
  <sheetViews>
    <sheetView workbookViewId="0"/>
  </sheetViews>
  <sheetFormatPr defaultColWidth="9.1796875" defaultRowHeight="14.5"/>
  <cols>
    <col min="1" max="1" width="22.1796875" style="111" bestFit="1" customWidth="1"/>
    <col min="2" max="2" width="9.54296875" style="111" bestFit="1" customWidth="1"/>
    <col min="3" max="3" width="15.26953125" style="111" customWidth="1"/>
    <col min="4" max="4" width="9.1796875" style="111"/>
    <col min="5" max="5" width="35.1796875" style="111" bestFit="1" customWidth="1"/>
    <col min="6" max="6" width="38.1796875" style="111" customWidth="1"/>
    <col min="7" max="7" width="13" style="111" customWidth="1"/>
    <col min="8" max="8" width="11.7265625" style="111" customWidth="1"/>
    <col min="9" max="9" width="10.7265625" style="111" customWidth="1"/>
    <col min="10" max="10" width="18.26953125" style="196" customWidth="1"/>
    <col min="11" max="11" width="16.54296875" style="196" customWidth="1"/>
    <col min="12" max="12" width="23.453125" style="111" customWidth="1"/>
    <col min="13" max="13" width="13.54296875" style="237" customWidth="1"/>
    <col min="14" max="14" width="11.453125" style="111" customWidth="1"/>
    <col min="15" max="15" width="9.1796875" style="111"/>
    <col min="16" max="16" width="20.54296875" style="111" bestFit="1" customWidth="1"/>
    <col min="17" max="18" width="9.1796875" style="111"/>
    <col min="19" max="19" width="17.7265625" style="111" customWidth="1"/>
    <col min="20" max="20" width="9.26953125" style="111" customWidth="1"/>
    <col min="21" max="21" width="13.54296875" style="111" customWidth="1"/>
    <col min="22" max="22" width="16.54296875" style="111" customWidth="1"/>
    <col min="23" max="23" width="12.54296875" style="111" customWidth="1"/>
    <col min="24" max="25" width="9.26953125" style="111" customWidth="1"/>
    <col min="26" max="16384" width="9.1796875" style="111"/>
  </cols>
  <sheetData>
    <row r="1" spans="1:25">
      <c r="A1" s="111" t="s">
        <v>1373</v>
      </c>
    </row>
    <row r="2" spans="1:25" ht="17.25" customHeight="1" thickBot="1">
      <c r="A2" s="111" t="s">
        <v>1322</v>
      </c>
      <c r="B2" s="111" t="s">
        <v>8</v>
      </c>
      <c r="C2" s="111" t="s">
        <v>1276</v>
      </c>
      <c r="D2" s="111" t="s">
        <v>7</v>
      </c>
      <c r="E2" s="111" t="s">
        <v>1277</v>
      </c>
      <c r="F2" s="111" t="s">
        <v>1278</v>
      </c>
      <c r="G2" s="111" t="s">
        <v>1279</v>
      </c>
      <c r="H2" s="111" t="s">
        <v>1280</v>
      </c>
      <c r="I2" s="111" t="s">
        <v>1</v>
      </c>
      <c r="J2" s="111" t="s">
        <v>1281</v>
      </c>
      <c r="K2" s="111" t="s">
        <v>1282</v>
      </c>
      <c r="L2" s="111" t="s">
        <v>1283</v>
      </c>
      <c r="M2" s="237" t="s">
        <v>1284</v>
      </c>
      <c r="N2" s="111" t="s">
        <v>1285</v>
      </c>
      <c r="O2" s="111" t="s">
        <v>1286</v>
      </c>
      <c r="P2" s="111" t="s">
        <v>1457</v>
      </c>
      <c r="Q2" s="111" t="s">
        <v>1458</v>
      </c>
      <c r="R2" s="111" t="s">
        <v>1459</v>
      </c>
      <c r="S2" s="111" t="s">
        <v>1323</v>
      </c>
      <c r="T2" s="111" t="s">
        <v>1348</v>
      </c>
      <c r="U2" s="238" t="s">
        <v>1433</v>
      </c>
      <c r="V2" s="238" t="s">
        <v>1434</v>
      </c>
      <c r="W2" s="238" t="s">
        <v>1431</v>
      </c>
      <c r="X2" s="238" t="s">
        <v>1432</v>
      </c>
      <c r="Y2" s="238" t="s">
        <v>1430</v>
      </c>
    </row>
    <row r="3" spans="1:25" ht="15" thickTop="1">
      <c r="A3" s="243"/>
      <c r="B3" s="243"/>
      <c r="C3" s="243"/>
      <c r="D3" s="243"/>
      <c r="E3" s="243"/>
      <c r="F3" s="243"/>
      <c r="G3" s="243"/>
      <c r="H3" s="243"/>
      <c r="I3" s="243"/>
      <c r="J3" s="244"/>
      <c r="K3" s="244"/>
      <c r="L3" s="243"/>
      <c r="M3" s="245"/>
      <c r="N3" s="243"/>
      <c r="O3" s="243"/>
      <c r="P3" s="243"/>
      <c r="Q3" s="243"/>
      <c r="R3" s="243"/>
      <c r="S3" s="239" t="str">
        <f>TEXT(tbl_projects[[#This Row],[Project]],"000000")</f>
        <v>000000</v>
      </c>
      <c r="T3" s="239" t="s">
        <v>1838</v>
      </c>
      <c r="U3" s="239" t="s">
        <v>1837</v>
      </c>
      <c r="V3" s="239" t="s">
        <v>1839</v>
      </c>
      <c r="W3" s="239">
        <v>1</v>
      </c>
      <c r="X3" s="239" t="s">
        <v>1743</v>
      </c>
      <c r="Y3" s="239" t="s">
        <v>1840</v>
      </c>
    </row>
    <row r="4" spans="1:25">
      <c r="A4" s="243"/>
      <c r="B4" s="243"/>
      <c r="C4" s="243"/>
      <c r="D4" s="243"/>
      <c r="E4" s="243"/>
      <c r="F4" s="243"/>
      <c r="G4" s="243"/>
      <c r="H4" s="243"/>
      <c r="I4" s="243"/>
      <c r="J4" s="244"/>
      <c r="K4" s="244"/>
      <c r="L4" s="243"/>
      <c r="M4" s="245"/>
      <c r="N4" s="243"/>
      <c r="O4" s="243"/>
      <c r="P4" s="243"/>
      <c r="Q4" s="243"/>
      <c r="R4" s="243"/>
      <c r="S4" s="239" t="str">
        <f>TEXT(tbl_projects[[#This Row],[Project]],"000000")</f>
        <v>000000</v>
      </c>
      <c r="T4" s="239" t="str">
        <f>IF(tbl_projects[[#This Row],[FA Base]]="NA","N/A",IF(tbl_projects[[#This Row],[FA Base]]="MD","MTDC",IF(tbl_projects[[#This Row],[FA Base]]="TD","TDC","")))</f>
        <v/>
      </c>
      <c r="U4" s="239" t="str">
        <f>TEXT(tbl_projects[[#This Row],[Project]],"000000")</f>
        <v>000000</v>
      </c>
      <c r="V4" s="239" t="str">
        <f>CONCATENATE(tbl_projects[[#This Row],[Formatted Project]],tbl_projects[[#This Row],[Fund]])</f>
        <v>000000</v>
      </c>
      <c r="W4" s="239">
        <f>COUNTIF(tbl_projects[Formatted Project],tbl_projects[[#This Row],[Formatted Project]])</f>
        <v>2</v>
      </c>
      <c r="X4" s="239">
        <f>IF(tbl_projects[[#This Row],[Proj Count]]&gt;1,COUNTIF(tbl_projects[Project &amp; Fund],tbl_projects[[#This Row],[Project &amp; Fund]]),"")</f>
        <v>2</v>
      </c>
      <c r="Y4" s="239" t="str">
        <f>IF(tbl_projects[[#This Row],[Proj Count]]=1,"NO",IF(tbl_projects[[#This Row],[Proj Count]]=tbl_projects[[#This Row],[Proj Count2]],"NO","YES"))</f>
        <v>NO</v>
      </c>
    </row>
    <row r="5" spans="1:25">
      <c r="A5" s="243"/>
      <c r="B5" s="243"/>
      <c r="C5" s="243"/>
      <c r="D5" s="243"/>
      <c r="E5" s="243"/>
      <c r="F5" s="243"/>
      <c r="G5" s="243"/>
      <c r="H5" s="243"/>
      <c r="I5" s="243"/>
      <c r="J5" s="244"/>
      <c r="K5" s="244"/>
      <c r="L5" s="243"/>
      <c r="M5" s="245"/>
      <c r="N5" s="243"/>
      <c r="O5" s="243"/>
      <c r="P5" s="243"/>
      <c r="Q5" s="243"/>
      <c r="R5" s="243"/>
      <c r="S5" s="239" t="str">
        <f>TEXT(tbl_projects[[#This Row],[Project]],"000000")</f>
        <v>000000</v>
      </c>
      <c r="T5" s="239" t="str">
        <f>IF(tbl_projects[[#This Row],[FA Base]]="NA","N/A",IF(tbl_projects[[#This Row],[FA Base]]="MD","MTDC",IF(tbl_projects[[#This Row],[FA Base]]="TD","TDC","")))</f>
        <v/>
      </c>
      <c r="U5" s="239" t="str">
        <f>TEXT(tbl_projects[[#This Row],[Project]],"000000")</f>
        <v>000000</v>
      </c>
      <c r="V5" s="239" t="str">
        <f>CONCATENATE(tbl_projects[[#This Row],[Formatted Project]],tbl_projects[[#This Row],[Fund]])</f>
        <v>000000</v>
      </c>
      <c r="W5" s="239">
        <f>COUNTIF(tbl_projects[Formatted Project],tbl_projects[[#This Row],[Formatted Project]])</f>
        <v>2</v>
      </c>
      <c r="X5" s="239">
        <f>IF(tbl_projects[[#This Row],[Proj Count]]&gt;1,COUNTIF(tbl_projects[Project &amp; Fund],tbl_projects[[#This Row],[Project &amp; Fund]]),"")</f>
        <v>2</v>
      </c>
      <c r="Y5" s="239" t="str">
        <f>IF(tbl_projects[[#This Row],[Proj Count]]=1,"NO",IF(tbl_projects[[#This Row],[Proj Count]]=tbl_projects[[#This Row],[Proj Count2]],"NO","YES"))</f>
        <v>NO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FCD7FF10590D45A49A5F707351240A" ma:contentTypeVersion="14" ma:contentTypeDescription="Create a new document." ma:contentTypeScope="" ma:versionID="3a9680878da40ea3f9f5d8a9e5bac3a1">
  <xsd:schema xmlns:xsd="http://www.w3.org/2001/XMLSchema" xmlns:xs="http://www.w3.org/2001/XMLSchema" xmlns:p="http://schemas.microsoft.com/office/2006/metadata/properties" xmlns:ns3="0c1e66c1-3082-4058-bbf3-dc1207b0e93f" xmlns:ns4="0e39f14a-b524-43be-914b-d2a860a71c89" targetNamespace="http://schemas.microsoft.com/office/2006/metadata/properties" ma:root="true" ma:fieldsID="e3dc99caed34a4bdb3b25c41a089d659" ns3:_="" ns4:_="">
    <xsd:import namespace="0c1e66c1-3082-4058-bbf3-dc1207b0e93f"/>
    <xsd:import namespace="0e39f14a-b524-43be-914b-d2a860a71c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1e66c1-3082-4058-bbf3-dc1207b0e9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39f14a-b524-43be-914b-d2a860a71c8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9EC673-D7F6-412C-B064-4FF7E80D0ED8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0e39f14a-b524-43be-914b-d2a860a71c89"/>
    <ds:schemaRef ds:uri="0c1e66c1-3082-4058-bbf3-dc1207b0e93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C399BD8-DB52-4D8F-AB85-662595C124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1e66c1-3082-4058-bbf3-dc1207b0e93f"/>
    <ds:schemaRef ds:uri="0e39f14a-b524-43be-914b-d2a860a71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40B1A1-56ED-45AB-B016-F168A00615E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a36450eb-db06-42a7-8d1b-026719f701e3}" enabled="0" method="" siteId="{a36450eb-db06-42a7-8d1b-026719f701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E&amp;G Summary</vt:lpstr>
      <vt:lpstr>Project Summary</vt:lpstr>
      <vt:lpstr>GL_Expense</vt:lpstr>
      <vt:lpstr>GL_Encumbrance</vt:lpstr>
      <vt:lpstr>HR_GL_Detail</vt:lpstr>
      <vt:lpstr>Salary Account Codes</vt:lpstr>
      <vt:lpstr>PCard_Detail</vt:lpstr>
      <vt:lpstr>Projected Expenses</vt:lpstr>
      <vt:lpstr>Projects</vt:lpstr>
      <vt:lpstr>Project Budgets</vt:lpstr>
      <vt:lpstr>Budget Category Lookup</vt:lpstr>
      <vt:lpstr>Actives</vt:lpstr>
      <vt:lpstr>Payroll Encumbrances</vt:lpstr>
      <vt:lpstr>E&amp;G Budgets</vt:lpstr>
      <vt:lpstr>Dept-Fund Crosswalks</vt:lpstr>
      <vt:lpstr>SR Expense Type Lookup</vt:lpstr>
      <vt:lpstr>E&amp;G Expense Type Lookup</vt:lpstr>
      <vt:lpstr>'E&amp;G Summary'!Print_Area</vt:lpstr>
      <vt:lpstr>'Project Summary'!Print_Area</vt:lpstr>
    </vt:vector>
  </TitlesOfParts>
  <Company>ITS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CG Gl Reconciliation</dc:title>
  <dc:creator>Goeke, Brandon</dc:creator>
  <cp:lastModifiedBy>Michelle Francis</cp:lastModifiedBy>
  <cp:lastPrinted>2019-01-15T19:39:34Z</cp:lastPrinted>
  <dcterms:created xsi:type="dcterms:W3CDTF">2013-01-22T12:54:59Z</dcterms:created>
  <dcterms:modified xsi:type="dcterms:W3CDTF">2024-08-27T15:58:02Z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5600</vt:r8>
  </property>
  <property fmtid="{D5CDD505-2E9C-101B-9397-08002B2CF9AE}" pid="3" name="ContentTypeId">
    <vt:lpwstr>0x0101000FFCD7FF10590D45A49A5F707351240A</vt:lpwstr>
  </property>
</Properties>
</file>